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Jan" state="visible" r:id="rId5"/>
    <sheet sheetId="3" name="Feb" state="visible" r:id="rId6"/>
    <sheet sheetId="4" name="Mär" state="visible" r:id="rId7"/>
    <sheet sheetId="5" name="Apr" state="visible" r:id="rId8"/>
    <sheet sheetId="6" name="Mai" state="visible" r:id="rId9"/>
    <sheet sheetId="7" name="Jun" state="visible" r:id="rId10"/>
    <sheet sheetId="8" name="Jul" state="visible" r:id="rId11"/>
    <sheet sheetId="9" name="Aug" state="visible" r:id="rId12"/>
    <sheet sheetId="10" name="Sep" state="visible" r:id="rId13"/>
    <sheet sheetId="11" name="Okt" state="visible" r:id="rId14"/>
    <sheet sheetId="12" name="Nov" state="visible" r:id="rId15"/>
    <sheet sheetId="13" name="Dez" state="visible" r:id="rId16"/>
  </sheets>
  <calcPr calcId="171027" fullCalcOnLoad="1"/>
</workbook>
</file>

<file path=xl/sharedStrings.xml><?xml version="1.0" encoding="utf-8"?>
<sst xmlns="http://schemas.openxmlformats.org/spreadsheetml/2006/main" count="215" uniqueCount="43">
  <si>
    <t>Urlaubsplaner 2027: Übersicht</t>
  </si>
  <si>
    <t>Jahr, Team und Urlaubsanspruch hier eintragen, die Monatsblätter übernehmen Namen und Jahr. Genommene Tage und Resturlaub werden aus den Monatsblättern berechnet.</t>
  </si>
  <si>
    <t>Jahr</t>
  </si>
  <si>
    <t>Höchstens gleichzeitig abwesend</t>
  </si>
  <si>
    <t>Mitarbeiter/in</t>
  </si>
  <si>
    <t>Abteilung</t>
  </si>
  <si>
    <t>Anspruch (Tage)</t>
  </si>
  <si>
    <t>Übertrag Vorjahr</t>
  </si>
  <si>
    <t>Urlaub genommen und geplant</t>
  </si>
  <si>
    <t>Resturlaub</t>
  </si>
  <si>
    <t>Krank (Tage)</t>
  </si>
  <si>
    <t>Anna Becker</t>
  </si>
  <si>
    <t>Service</t>
  </si>
  <si>
    <t>Jonas Klein</t>
  </si>
  <si>
    <t>Lea Schmidt</t>
  </si>
  <si>
    <t>Küche</t>
  </si>
  <si>
    <t>David Meyer</t>
  </si>
  <si>
    <t>Sophie Wagner</t>
  </si>
  <si>
    <t>Theke</t>
  </si>
  <si>
    <t>Ben Fischer</t>
  </si>
  <si>
    <t>Aushilfe</t>
  </si>
  <si>
    <t>Beispiel: ein Team aus sechs Personen mit eigenem Anspruch. Resturlaub ist Anspruch plus Übertrag minus genommen und geplant; wird er negativ, färbt er sich rot. Wie viele Urlaubstage jemand hat, steht im Arbeitsvertrag: Tragen Sie die Zahl in Gelb ein.</t>
  </si>
  <si>
    <t>Urlaub per App beantragen und mit einem Tipp genehmigen? In InShift zeigt der Dienstplan, wer fehlt: inshift.app/de/</t>
  </si>
  <si>
    <t>Urlaubsplaner Januar 2027</t>
  </si>
  <si>
    <t>Kürzel je Tag: U Urlaub, H halber Urlaubstag, K krank. Feiertage und Betriebsruhe in der gelben Zeile oben mit x markieren. Namen und Jahr stehen auf dem Blatt Übersicht.</t>
  </si>
  <si>
    <t>Feiertag, Betriebsruhe (x)</t>
  </si>
  <si>
    <t>Urlaub (Tage)</t>
  </si>
  <si>
    <t>Abwesend</t>
  </si>
  <si>
    <t>U nur an Arbeitstagen eintragen: Wochenenden sind grau, Feiertage markieren Sie oben mit x. Urlaub (Tage) zählt U als ganzen und H als halben Tag, die Summe geht in die Übersicht. Rot in der Zeile Abwesend: an diesem Tag fehlen mehr Personen als auf der Übersicht erlaubt.</t>
  </si>
  <si>
    <t>Urlaubsplaner Februar 2027</t>
  </si>
  <si>
    <t>K</t>
  </si>
  <si>
    <t>Urlaubsplaner März 2027</t>
  </si>
  <si>
    <t>Urlaubsplaner April 2027</t>
  </si>
  <si>
    <t>U</t>
  </si>
  <si>
    <t>Urlaubsplaner Mai 2027</t>
  </si>
  <si>
    <t>Urlaubsplaner Juni 2027</t>
  </si>
  <si>
    <t>Urlaubsplaner Juli 2027</t>
  </si>
  <si>
    <t>Urlaubsplaner August 2027</t>
  </si>
  <si>
    <t>Urlaubsplaner September 2027</t>
  </si>
  <si>
    <t>Urlaubsplaner Oktober 2027</t>
  </si>
  <si>
    <t>Urlaubsplaner November 2027</t>
  </si>
  <si>
    <t>Urlaubsplaner Dezember 2027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</si>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</sst>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d"/>
    <numFmt numFmtId="166" formatCode="&quot;max. &quot;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  <font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85"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urlaubsplaner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4" width="12" customWidth="1"/>
    <col min="5" max="5" width="14" customWidth="1"/>
    <col min="6" max="7" width="1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spans="1:2" x14ac:dyDescent="0.25">
      <c r="A3" s="3" t="s">
        <v>2</v>
      </c>
      <c r="B3" s="4">
        <v>2027</v>
      </c>
    </row>
    <row r="4" spans="1:2" x14ac:dyDescent="0.25">
      <c r="A4" s="3" t="s">
        <v>3</v>
      </c>
      <c r="B4" s="4">
        <v>2</v>
      </c>
    </row>
    <row r="7" ht="32" customHeight="1" spans="1:7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 spans="1:7" x14ac:dyDescent="0.25">
      <c r="A8" s="6" t="s">
        <v>11</v>
      </c>
      <c r="B8" s="6" t="s">
        <v>12</v>
      </c>
      <c r="C8" s="7">
        <v>30</v>
      </c>
      <c r="D8" s="7">
        <v>2</v>
      </c>
      <c r="E8" s="8">
        <f>'Jan'!$AH$8+'Feb'!$AH$8+'Mär'!$AH$8+'Apr'!$AH$8+'Mai'!$AH$8+'Jun'!$AH$8+'Jul'!$AH$8+'Aug'!$AH$8+'Sep'!$AH$8+'Okt'!$AH$8+'Nov'!$AH$8+'Dez'!$AH$8</f>
        <v>16</v>
      </c>
      <c r="F8" s="8">
        <f>IF(A8="","",IF(ISNUMBER(C8),C8,0)+IF(ISNUMBER(D8),D8,0)-E8)</f>
        <v>16</v>
      </c>
      <c r="G8" s="9">
        <f>'Jan'!$AI$8+'Feb'!$AI$8+'Mär'!$AI$8+'Apr'!$AI$8+'Mai'!$AI$8+'Jun'!$AI$8+'Jul'!$AI$8+'Aug'!$AI$8+'Sep'!$AI$8+'Okt'!$AI$8+'Nov'!$AI$8+'Dez'!$AI$8</f>
        <v>0</v>
      </c>
    </row>
    <row r="9" spans="1:7" x14ac:dyDescent="0.25">
      <c r="A9" s="6" t="s">
        <v>13</v>
      </c>
      <c r="B9" s="6" t="s">
        <v>12</v>
      </c>
      <c r="C9" s="7">
        <v>30</v>
      </c>
      <c r="D9" s="7">
        <v>0</v>
      </c>
      <c r="E9" s="8">
        <f>'Jan'!$AH$9+'Feb'!$AH$9+'Mär'!$AH$9+'Apr'!$AH$9+'Mai'!$AH$9+'Jun'!$AH$9+'Jul'!$AH$9+'Aug'!$AH$9+'Sep'!$AH$9+'Okt'!$AH$9+'Nov'!$AH$9+'Dez'!$AH$9</f>
        <v>13</v>
      </c>
      <c r="F9" s="8">
        <f>IF(A9="","",IF(ISNUMBER(C9),C9,0)+IF(ISNUMBER(D9),D9,0)-E9)</f>
        <v>17</v>
      </c>
      <c r="G9" s="9">
        <f>'Jan'!$AI$9+'Feb'!$AI$9+'Mär'!$AI$9+'Apr'!$AI$9+'Mai'!$AI$9+'Jun'!$AI$9+'Jul'!$AI$9+'Aug'!$AI$9+'Sep'!$AI$9+'Okt'!$AI$9+'Nov'!$AI$9+'Dez'!$AI$9</f>
        <v>2</v>
      </c>
    </row>
    <row r="10" spans="1:7" x14ac:dyDescent="0.25">
      <c r="A10" s="6" t="s">
        <v>14</v>
      </c>
      <c r="B10" s="6" t="s">
        <v>15</v>
      </c>
      <c r="C10" s="7">
        <v>28</v>
      </c>
      <c r="D10" s="7">
        <v>3</v>
      </c>
      <c r="E10" s="8">
        <f>'Jan'!$AH$10+'Feb'!$AH$10+'Mär'!$AH$10+'Apr'!$AH$10+'Mai'!$AH$10+'Jun'!$AH$10+'Jul'!$AH$10+'Aug'!$AH$10+'Sep'!$AH$10+'Okt'!$AH$10+'Nov'!$AH$10+'Dez'!$AH$10</f>
        <v>21</v>
      </c>
      <c r="F10" s="8">
        <f>IF(A10="","",IF(ISNUMBER(C10),C10,0)+IF(ISNUMBER(D10),D10,0)-E10)</f>
        <v>10</v>
      </c>
      <c r="G10" s="9">
        <f>'Jan'!$AI$10+'Feb'!$AI$10+'Mär'!$AI$10+'Apr'!$AI$10+'Mai'!$AI$10+'Jun'!$AI$10+'Jul'!$AI$10+'Aug'!$AI$10+'Sep'!$AI$10+'Okt'!$AI$10+'Nov'!$AI$10+'Dez'!$AI$10</f>
        <v>0</v>
      </c>
    </row>
    <row r="11" spans="1:7" x14ac:dyDescent="0.25">
      <c r="A11" s="6" t="s">
        <v>16</v>
      </c>
      <c r="B11" s="6" t="s">
        <v>15</v>
      </c>
      <c r="C11" s="7">
        <v>28</v>
      </c>
      <c r="D11" s="7">
        <v>0</v>
      </c>
      <c r="E11" s="8">
        <f>'Jan'!$AH$11+'Feb'!$AH$11+'Mär'!$AH$11+'Apr'!$AH$11+'Mai'!$AH$11+'Jun'!$AH$11+'Jul'!$AH$11+'Aug'!$AH$11+'Sep'!$AH$11+'Okt'!$AH$11+'Nov'!$AH$11+'Dez'!$AH$11</f>
        <v>13</v>
      </c>
      <c r="F11" s="8">
        <f>IF(A11="","",IF(ISNUMBER(C11),C11,0)+IF(ISNUMBER(D11),D11,0)-E11)</f>
        <v>15</v>
      </c>
      <c r="G11" s="9">
        <f>'Jan'!$AI$11+'Feb'!$AI$11+'Mär'!$AI$11+'Apr'!$AI$11+'Mai'!$AI$11+'Jun'!$AI$11+'Jul'!$AI$11+'Aug'!$AI$11+'Sep'!$AI$11+'Okt'!$AI$11+'Nov'!$AI$11+'Dez'!$AI$11</f>
        <v>3</v>
      </c>
    </row>
    <row r="12" spans="1:7" x14ac:dyDescent="0.25">
      <c r="A12" s="6" t="s">
        <v>17</v>
      </c>
      <c r="B12" s="6" t="s">
        <v>18</v>
      </c>
      <c r="C12" s="7">
        <v>25</v>
      </c>
      <c r="D12" s="7">
        <v>0</v>
      </c>
      <c r="E12" s="8">
        <f>'Jan'!$AH$12+'Feb'!$AH$12+'Mär'!$AH$12+'Apr'!$AH$12+'Mai'!$AH$12+'Jun'!$AH$12+'Jul'!$AH$12+'Aug'!$AH$12+'Sep'!$AH$12+'Okt'!$AH$12+'Nov'!$AH$12+'Dez'!$AH$12</f>
        <v>9.5</v>
      </c>
      <c r="F12" s="8">
        <f>IF(A12="","",IF(ISNUMBER(C12),C12,0)+IF(ISNUMBER(D12),D12,0)-E12)</f>
        <v>15.5</v>
      </c>
      <c r="G12" s="9">
        <f>'Jan'!$AI$12+'Feb'!$AI$12+'Mär'!$AI$12+'Apr'!$AI$12+'Mai'!$AI$12+'Jun'!$AI$12+'Jul'!$AI$12+'Aug'!$AI$12+'Sep'!$AI$12+'Okt'!$AI$12+'Nov'!$AI$12+'Dez'!$AI$12</f>
        <v>0</v>
      </c>
    </row>
    <row r="13" spans="1:7" x14ac:dyDescent="0.25">
      <c r="A13" s="6" t="s">
        <v>19</v>
      </c>
      <c r="B13" s="6" t="s">
        <v>20</v>
      </c>
      <c r="C13" s="7">
        <v>20</v>
      </c>
      <c r="D13" s="7">
        <v>0</v>
      </c>
      <c r="E13" s="8">
        <f>'Jan'!$AH$13+'Feb'!$AH$13+'Mär'!$AH$13+'Apr'!$AH$13+'Mai'!$AH$13+'Jun'!$AH$13+'Jul'!$AH$13+'Aug'!$AH$13+'Sep'!$AH$13+'Okt'!$AH$13+'Nov'!$AH$13+'Dez'!$AH$13</f>
        <v>4</v>
      </c>
      <c r="F13" s="8">
        <f>IF(A13="","",IF(ISNUMBER(C13),C13,0)+IF(ISNUMBER(D13),D13,0)-E13)</f>
        <v>16</v>
      </c>
      <c r="G13" s="9">
        <f>'Jan'!$AI$13+'Feb'!$AI$13+'Mär'!$AI$13+'Apr'!$AI$13+'Mai'!$AI$13+'Jun'!$AI$13+'Jul'!$AI$13+'Aug'!$AI$13+'Sep'!$AI$13+'Okt'!$AI$13+'Nov'!$AI$13+'Dez'!$AI$13</f>
        <v>0</v>
      </c>
    </row>
    <row r="14" spans="1:7" x14ac:dyDescent="0.25">
      <c r="A14" s="6"/>
      <c r="B14" s="6"/>
      <c r="C14" s="7"/>
      <c r="D14" s="7"/>
      <c r="E14" s="8">
        <f>'Jan'!$AH$14+'Feb'!$AH$14+'Mär'!$AH$14+'Apr'!$AH$14+'Mai'!$AH$14+'Jun'!$AH$14+'Jul'!$AH$14+'Aug'!$AH$14+'Sep'!$AH$14+'Okt'!$AH$14+'Nov'!$AH$14+'Dez'!$AH$14</f>
        <v>0</v>
      </c>
      <c r="F14" s="8" t="str">
        <f>IF(A14="","",IF(ISNUMBER(C14),C14,0)+IF(ISNUMBER(D14),D14,0)-E14)</f>
        <v/>
      </c>
      <c r="G14" s="9">
        <f>'Jan'!$AI$14+'Feb'!$AI$14+'Mär'!$AI$14+'Apr'!$AI$14+'Mai'!$AI$14+'Jun'!$AI$14+'Jul'!$AI$14+'Aug'!$AI$14+'Sep'!$AI$14+'Okt'!$AI$14+'Nov'!$AI$14+'Dez'!$AI$14</f>
        <v>0</v>
      </c>
    </row>
    <row r="15" spans="1:7" x14ac:dyDescent="0.25">
      <c r="A15" s="6"/>
      <c r="B15" s="6"/>
      <c r="C15" s="7"/>
      <c r="D15" s="7"/>
      <c r="E15" s="8">
        <f>'Jan'!$AH$15+'Feb'!$AH$15+'Mär'!$AH$15+'Apr'!$AH$15+'Mai'!$AH$15+'Jun'!$AH$15+'Jul'!$AH$15+'Aug'!$AH$15+'Sep'!$AH$15+'Okt'!$AH$15+'Nov'!$AH$15+'Dez'!$AH$15</f>
        <v>0</v>
      </c>
      <c r="F15" s="8" t="str">
        <f>IF(A15="","",IF(ISNUMBER(C15),C15,0)+IF(ISNUMBER(D15),D15,0)-E15)</f>
        <v/>
      </c>
      <c r="G15" s="9">
        <f>'Jan'!$AI$15+'Feb'!$AI$15+'Mär'!$AI$15+'Apr'!$AI$15+'Mai'!$AI$15+'Jun'!$AI$15+'Jul'!$AI$15+'Aug'!$AI$15+'Sep'!$AI$15+'Okt'!$AI$15+'Nov'!$AI$15+'Dez'!$AI$15</f>
        <v>0</v>
      </c>
    </row>
    <row r="16" spans="1:7" x14ac:dyDescent="0.25">
      <c r="A16" s="6"/>
      <c r="B16" s="6"/>
      <c r="C16" s="7"/>
      <c r="D16" s="7"/>
      <c r="E16" s="8">
        <f>'Jan'!$AH$16+'Feb'!$AH$16+'Mär'!$AH$16+'Apr'!$AH$16+'Mai'!$AH$16+'Jun'!$AH$16+'Jul'!$AH$16+'Aug'!$AH$16+'Sep'!$AH$16+'Okt'!$AH$16+'Nov'!$AH$16+'Dez'!$AH$16</f>
        <v>0</v>
      </c>
      <c r="F16" s="8" t="str">
        <f>IF(A16="","",IF(ISNUMBER(C16),C16,0)+IF(ISNUMBER(D16),D16,0)-E16)</f>
        <v/>
      </c>
      <c r="G16" s="9">
        <f>'Jan'!$AI$16+'Feb'!$AI$16+'Mär'!$AI$16+'Apr'!$AI$16+'Mai'!$AI$16+'Jun'!$AI$16+'Jul'!$AI$16+'Aug'!$AI$16+'Sep'!$AI$16+'Okt'!$AI$16+'Nov'!$AI$16+'Dez'!$AI$16</f>
        <v>0</v>
      </c>
    </row>
    <row r="17" spans="1:7" x14ac:dyDescent="0.25">
      <c r="A17" s="6"/>
      <c r="B17" s="6"/>
      <c r="C17" s="7"/>
      <c r="D17" s="7"/>
      <c r="E17" s="8">
        <f>'Jan'!$AH$17+'Feb'!$AH$17+'Mär'!$AH$17+'Apr'!$AH$17+'Mai'!$AH$17+'Jun'!$AH$17+'Jul'!$AH$17+'Aug'!$AH$17+'Sep'!$AH$17+'Okt'!$AH$17+'Nov'!$AH$17+'Dez'!$AH$17</f>
        <v>0</v>
      </c>
      <c r="F17" s="8" t="str">
        <f>IF(A17="","",IF(ISNUMBER(C17),C17,0)+IF(ISNUMBER(D17),D17,0)-E17)</f>
        <v/>
      </c>
      <c r="G17" s="9">
        <f>'Jan'!$AI$17+'Feb'!$AI$17+'Mär'!$AI$17+'Apr'!$AI$17+'Mai'!$AI$17+'Jun'!$AI$17+'Jul'!$AI$17+'Aug'!$AI$17+'Sep'!$AI$17+'Okt'!$AI$17+'Nov'!$AI$17+'Dez'!$AI$17</f>
        <v>0</v>
      </c>
    </row>
    <row r="18" spans="1:7" x14ac:dyDescent="0.25">
      <c r="A18" s="6"/>
      <c r="B18" s="6"/>
      <c r="C18" s="7"/>
      <c r="D18" s="7"/>
      <c r="E18" s="8">
        <f>'Jan'!$AH$18+'Feb'!$AH$18+'Mär'!$AH$18+'Apr'!$AH$18+'Mai'!$AH$18+'Jun'!$AH$18+'Jul'!$AH$18+'Aug'!$AH$18+'Sep'!$AH$18+'Okt'!$AH$18+'Nov'!$AH$18+'Dez'!$AH$18</f>
        <v>0</v>
      </c>
      <c r="F18" s="8" t="str">
        <f>IF(A18="","",IF(ISNUMBER(C18),C18,0)+IF(ISNUMBER(D18),D18,0)-E18)</f>
        <v/>
      </c>
      <c r="G18" s="9">
        <f>'Jan'!$AI$18+'Feb'!$AI$18+'Mär'!$AI$18+'Apr'!$AI$18+'Mai'!$AI$18+'Jun'!$AI$18+'Jul'!$AI$18+'Aug'!$AI$18+'Sep'!$AI$18+'Okt'!$AI$18+'Nov'!$AI$18+'Dez'!$AI$18</f>
        <v>0</v>
      </c>
    </row>
    <row r="19" spans="1:7" x14ac:dyDescent="0.25">
      <c r="A19" s="6"/>
      <c r="B19" s="6"/>
      <c r="C19" s="7"/>
      <c r="D19" s="7"/>
      <c r="E19" s="8">
        <f>'Jan'!$AH$19+'Feb'!$AH$19+'Mär'!$AH$19+'Apr'!$AH$19+'Mai'!$AH$19+'Jun'!$AH$19+'Jul'!$AH$19+'Aug'!$AH$19+'Sep'!$AH$19+'Okt'!$AH$19+'Nov'!$AH$19+'Dez'!$AH$19</f>
        <v>0</v>
      </c>
      <c r="F19" s="8" t="str">
        <f>IF(A19="","",IF(ISNUMBER(C19),C19,0)+IF(ISNUMBER(D19),D19,0)-E19)</f>
        <v/>
      </c>
      <c r="G19" s="9">
        <f>'Jan'!$AI$19+'Feb'!$AI$19+'Mär'!$AI$19+'Apr'!$AI$19+'Mai'!$AI$19+'Jun'!$AI$19+'Jul'!$AI$19+'Aug'!$AI$19+'Sep'!$AI$19+'Okt'!$AI$19+'Nov'!$AI$19+'Dez'!$AI$19</f>
        <v>0</v>
      </c>
    </row>
    <row r="21" ht="44" customHeight="1" spans="1:7" x14ac:dyDescent="0.25">
      <c r="A21" s="10" t="s">
        <v>21</v>
      </c>
      <c r="B21" s="10"/>
      <c r="C21" s="10"/>
      <c r="D21" s="10"/>
      <c r="E21" s="10"/>
      <c r="F21" s="10"/>
      <c r="G21" s="10"/>
    </row>
    <row r="23" ht="44" customHeight="1" spans="1:7" x14ac:dyDescent="0.25">
      <c r="A23" s="11" t="s">
        <v>22</v>
      </c>
      <c r="B23" s="11"/>
      <c r="C23" s="11"/>
      <c r="D23" s="11"/>
      <c r="E23" s="11"/>
      <c r="F23" s="11"/>
      <c r="G23" s="11"/>
    </row>
  </sheetData>
  <mergeCells count="4">
    <mergeCell ref="A1:G1"/>
    <mergeCell ref="A2:G2"/>
    <mergeCell ref="A21:G21"/>
    <mergeCell ref="A23:G23"/>
  </mergeCells>
  <conditionalFormatting sqref="F8:F19">
    <cfRule type="expression" dxfId="0" priority="1">
      <formula>AND(ISNUMBER(F8),F8&lt;0)</formula>
    </cfRule>
  </conditionalFormatting>
  <hyperlinks>
    <hyperlink ref="A2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Fr</v>
      </c>
      <c r="D6" s="5" t="str">
        <f>IF(ISNUMBER(D$7),CHOOSE(WEEKDAY(D$7),"So","Mo","Di","Mi","Do","Fr","Sa"),"")</f>
        <v>Sa</v>
      </c>
      <c r="E6" s="5" t="str">
        <f>IF(ISNUMBER(E$7),CHOOSE(WEEKDAY(E$7),"So","Mo","Di","Mi","Do","Fr","Sa"),"")</f>
        <v>So</v>
      </c>
      <c r="F6" s="5" t="str">
        <f>IF(ISNUMBER(F$7),CHOOSE(WEEKDAY(F$7),"So","Mo","Di","Mi","Do","Fr","Sa"),"")</f>
        <v>Mo</v>
      </c>
      <c r="G6" s="5" t="str">
        <f>IF(ISNUMBER(G$7),CHOOSE(WEEKDAY(G$7),"So","Mo","Di","Mi","Do","Fr","Sa"),"")</f>
        <v>Di</v>
      </c>
      <c r="H6" s="5" t="str">
        <f>IF(ISNUMBER(H$7),CHOOSE(WEEKDAY(H$7),"So","Mo","Di","Mi","Do","Fr","Sa"),"")</f>
        <v>Mi</v>
      </c>
      <c r="I6" s="5" t="str">
        <f>IF(ISNUMBER(I$7),CHOOSE(WEEKDAY(I$7),"So","Mo","Di","Mi","Do","Fr","Sa"),"")</f>
        <v>Do</v>
      </c>
      <c r="J6" s="5" t="str">
        <f>IF(ISNUMBER(J$7),CHOOSE(WEEKDAY(J$7),"So","Mo","Di","Mi","Do","Fr","Sa"),"")</f>
        <v>Fr</v>
      </c>
      <c r="K6" s="5" t="str">
        <f>IF(ISNUMBER(K$7),CHOOSE(WEEKDAY(K$7),"So","Mo","Di","Mi","Do","Fr","Sa"),"")</f>
        <v>Sa</v>
      </c>
      <c r="L6" s="5" t="str">
        <f>IF(ISNUMBER(L$7),CHOOSE(WEEKDAY(L$7),"So","Mo","Di","Mi","Do","Fr","Sa"),"")</f>
        <v>So</v>
      </c>
      <c r="M6" s="5" t="str">
        <f>IF(ISNUMBER(M$7),CHOOSE(WEEKDAY(M$7),"So","Mo","Di","Mi","Do","Fr","Sa"),"")</f>
        <v>Mo</v>
      </c>
      <c r="N6" s="5" t="str">
        <f>IF(ISNUMBER(N$7),CHOOSE(WEEKDAY(N$7),"So","Mo","Di","Mi","Do","Fr","Sa"),"")</f>
        <v>Di</v>
      </c>
      <c r="O6" s="5" t="str">
        <f>IF(ISNUMBER(O$7),CHOOSE(WEEKDAY(O$7),"So","Mo","Di","Mi","Do","Fr","Sa"),"")</f>
        <v>Mi</v>
      </c>
      <c r="P6" s="5" t="str">
        <f>IF(ISNUMBER(P$7),CHOOSE(WEEKDAY(P$7),"So","Mo","Di","Mi","Do","Fr","Sa"),"")</f>
        <v>Do</v>
      </c>
      <c r="Q6" s="5" t="str">
        <f>IF(ISNUMBER(Q$7),CHOOSE(WEEKDAY(Q$7),"So","Mo","Di","Mi","Do","Fr","Sa"),"")</f>
        <v>Fr</v>
      </c>
      <c r="R6" s="5" t="str">
        <f>IF(ISNUMBER(R$7),CHOOSE(WEEKDAY(R$7),"So","Mo","Di","Mi","Do","Fr","Sa"),"")</f>
        <v>Sa</v>
      </c>
      <c r="S6" s="5" t="str">
        <f>IF(ISNUMBER(S$7),CHOOSE(WEEKDAY(S$7),"So","Mo","Di","Mi","Do","Fr","Sa"),"")</f>
        <v>So</v>
      </c>
      <c r="T6" s="5" t="str">
        <f>IF(ISNUMBER(T$7),CHOOSE(WEEKDAY(T$7),"So","Mo","Di","Mi","Do","Fr","Sa"),"")</f>
        <v>Mo</v>
      </c>
      <c r="U6" s="5" t="str">
        <f>IF(ISNUMBER(U$7),CHOOSE(WEEKDAY(U$7),"So","Mo","Di","Mi","Do","Fr","Sa"),"")</f>
        <v>Di</v>
      </c>
      <c r="V6" s="5" t="str">
        <f>IF(ISNUMBER(V$7),CHOOSE(WEEKDAY(V$7),"So","Mo","Di","Mi","Do","Fr","Sa"),"")</f>
        <v>Mi</v>
      </c>
      <c r="W6" s="5" t="str">
        <f>IF(ISNUMBER(W$7),CHOOSE(WEEKDAY(W$7),"So","Mo","Di","Mi","Do","Fr","Sa"),"")</f>
        <v>Do</v>
      </c>
      <c r="X6" s="5" t="str">
        <f>IF(ISNUMBER(X$7),CHOOSE(WEEKDAY(X$7),"So","Mo","Di","Mi","Do","Fr","Sa"),"")</f>
        <v>Fr</v>
      </c>
      <c r="Y6" s="5" t="str">
        <f>IF(ISNUMBER(Y$7),CHOOSE(WEEKDAY(Y$7),"So","Mo","Di","Mi","Do","Fr","Sa"),"")</f>
        <v>Sa</v>
      </c>
      <c r="Z6" s="5" t="str">
        <f>IF(ISNUMBER(Z$7),CHOOSE(WEEKDAY(Z$7),"So","Mo","Di","Mi","Do","Fr","Sa"),"")</f>
        <v>So</v>
      </c>
      <c r="AA6" s="5" t="str">
        <f>IF(ISNUMBER(AA$7),CHOOSE(WEEKDAY(AA$7),"So","Mo","Di","Mi","Do","Fr","Sa"),"")</f>
        <v>Mo</v>
      </c>
      <c r="AB6" s="5" t="str">
        <f>IF(ISNUMBER(AB$7),CHOOSE(WEEKDAY(AB$7),"So","Mo","Di","Mi","Do","Fr","Sa"),"")</f>
        <v>Di</v>
      </c>
      <c r="AC6" s="5" t="str">
        <f>IF(ISNUMBER(AC$7),CHOOSE(WEEKDAY(AC$7),"So","Mo","Di","Mi","Do","Fr","Sa"),"")</f>
        <v>Mi</v>
      </c>
      <c r="AD6" s="5" t="str">
        <f>IF(ISNUMBER(AD$7),CHOOSE(WEEKDAY(AD$7),"So","Mo","Di","Mi","Do","Fr","Sa"),"")</f>
        <v>Do</v>
      </c>
      <c r="AE6" s="5" t="str">
        <f>IF(ISNUMBER(AE$7),CHOOSE(WEEKDAY(AE$7),"So","Mo","Di","Mi","Do","Fr","Sa"),"")</f>
        <v>Fr</v>
      </c>
      <c r="AF6" s="5" t="str">
        <f>IF(ISNUMBER(AF$7),CHOOSE(WEEKDAY(AF$7),"So","Mo","Di","Mi","Do","Fr","Sa"),"")</f>
        <v>Sa</v>
      </c>
      <c r="AG6" s="5" t="str">
        <f>IF(ISNUMBER(AG$7),CHOOSE(WEEKDAY(AG$7),"So","Mo","Di","Mi","Do","Fr","Sa"),"")</f>
        <v>So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IF(MONTH(DATE('Übersicht'!$B$3,1,1))=1,DATE('Übersicht'!$B$3,1,1),"")</f>
        <v>46388</v>
      </c>
      <c r="D7" s="13">
        <f>IF(MONTH(DATE('Übersicht'!$B$3,1,2))=1,DATE('Übersicht'!$B$3,1,2),"")</f>
        <v>46389</v>
      </c>
      <c r="E7" s="13">
        <f>IF(MONTH(DATE('Übersicht'!$B$3,1,3))=1,DATE('Übersicht'!$B$3,1,3),"")</f>
        <v>46390</v>
      </c>
      <c r="F7" s="13">
        <f>IF(MONTH(DATE('Übersicht'!$B$3,1,4))=1,DATE('Übersicht'!$B$3,1,4),"")</f>
        <v>46391</v>
      </c>
      <c r="G7" s="13">
        <f>IF(MONTH(DATE('Übersicht'!$B$3,1,5))=1,DATE('Übersicht'!$B$3,1,5),"")</f>
        <v>46392</v>
      </c>
      <c r="H7" s="13">
        <f>IF(MONTH(DATE('Übersicht'!$B$3,1,6))=1,DATE('Übersicht'!$B$3,1,6),"")</f>
        <v>46393</v>
      </c>
      <c r="I7" s="13">
        <f>IF(MONTH(DATE('Übersicht'!$B$3,1,7))=1,DATE('Übersicht'!$B$3,1,7),"")</f>
        <v>46394</v>
      </c>
      <c r="J7" s="13">
        <f>IF(MONTH(DATE('Übersicht'!$B$3,1,8))=1,DATE('Übersicht'!$B$3,1,8),"")</f>
        <v>46395</v>
      </c>
      <c r="K7" s="13">
        <f>IF(MONTH(DATE('Übersicht'!$B$3,1,9))=1,DATE('Übersicht'!$B$3,1,9),"")</f>
        <v>46396</v>
      </c>
      <c r="L7" s="13">
        <f>IF(MONTH(DATE('Übersicht'!$B$3,1,10))=1,DATE('Übersicht'!$B$3,1,10),"")</f>
        <v>46397</v>
      </c>
      <c r="M7" s="13">
        <f>IF(MONTH(DATE('Übersicht'!$B$3,1,11))=1,DATE('Übersicht'!$B$3,1,11),"")</f>
        <v>46398</v>
      </c>
      <c r="N7" s="13">
        <f>IF(MONTH(DATE('Übersicht'!$B$3,1,12))=1,DATE('Übersicht'!$B$3,1,12),"")</f>
        <v>46399</v>
      </c>
      <c r="O7" s="13">
        <f>IF(MONTH(DATE('Übersicht'!$B$3,1,13))=1,DATE('Übersicht'!$B$3,1,13),"")</f>
        <v>46400</v>
      </c>
      <c r="P7" s="13">
        <f>IF(MONTH(DATE('Übersicht'!$B$3,1,14))=1,DATE('Übersicht'!$B$3,1,14),"")</f>
        <v>46401</v>
      </c>
      <c r="Q7" s="13">
        <f>IF(MONTH(DATE('Übersicht'!$B$3,1,15))=1,DATE('Übersicht'!$B$3,1,15),"")</f>
        <v>46402</v>
      </c>
      <c r="R7" s="13">
        <f>IF(MONTH(DATE('Übersicht'!$B$3,1,16))=1,DATE('Übersicht'!$B$3,1,16),"")</f>
        <v>46403</v>
      </c>
      <c r="S7" s="13">
        <f>IF(MONTH(DATE('Übersicht'!$B$3,1,17))=1,DATE('Übersicht'!$B$3,1,17),"")</f>
        <v>46404</v>
      </c>
      <c r="T7" s="13">
        <f>IF(MONTH(DATE('Übersicht'!$B$3,1,18))=1,DATE('Übersicht'!$B$3,1,18),"")</f>
        <v>46405</v>
      </c>
      <c r="U7" s="13">
        <f>IF(MONTH(DATE('Übersicht'!$B$3,1,19))=1,DATE('Übersicht'!$B$3,1,19),"")</f>
        <v>46406</v>
      </c>
      <c r="V7" s="13">
        <f>IF(MONTH(DATE('Übersicht'!$B$3,1,20))=1,DATE('Übersicht'!$B$3,1,20),"")</f>
        <v>46407</v>
      </c>
      <c r="W7" s="13">
        <f>IF(MONTH(DATE('Übersicht'!$B$3,1,21))=1,DATE('Übersicht'!$B$3,1,21),"")</f>
        <v>46408</v>
      </c>
      <c r="X7" s="13">
        <f>IF(MONTH(DATE('Übersicht'!$B$3,1,22))=1,DATE('Übersicht'!$B$3,1,22),"")</f>
        <v>46409</v>
      </c>
      <c r="Y7" s="13">
        <f>IF(MONTH(DATE('Übersicht'!$B$3,1,23))=1,DATE('Übersicht'!$B$3,1,23),"")</f>
        <v>46410</v>
      </c>
      <c r="Z7" s="13">
        <f>IF(MONTH(DATE('Übersicht'!$B$3,1,24))=1,DATE('Übersicht'!$B$3,1,24),"")</f>
        <v>46411</v>
      </c>
      <c r="AA7" s="13">
        <f>IF(MONTH(DATE('Übersicht'!$B$3,1,25))=1,DATE('Übersicht'!$B$3,1,25),"")</f>
        <v>46412</v>
      </c>
      <c r="AB7" s="13">
        <f>IF(MONTH(DATE('Übersicht'!$B$3,1,26))=1,DATE('Übersicht'!$B$3,1,26),"")</f>
        <v>46413</v>
      </c>
      <c r="AC7" s="13">
        <f>IF(MONTH(DATE('Übersicht'!$B$3,1,27))=1,DATE('Übersicht'!$B$3,1,27),"")</f>
        <v>46414</v>
      </c>
      <c r="AD7" s="13">
        <f>IF(MONTH(DATE('Übersicht'!$B$3,1,28))=1,DATE('Übersicht'!$B$3,1,28),"")</f>
        <v>46415</v>
      </c>
      <c r="AE7" s="13">
        <f>IF(MONTH(DATE('Übersicht'!$B$3,1,29))=1,DATE('Übersicht'!$B$3,1,29),"")</f>
        <v>46416</v>
      </c>
      <c r="AF7" s="13">
        <f>IF(MONTH(DATE('Übersicht'!$B$3,1,30))=1,DATE('Übersicht'!$B$3,1,30),"")</f>
        <v>46417</v>
      </c>
      <c r="AG7" s="13">
        <f>IF(MONTH(DATE('Übersicht'!$B$3,1,31))=1,DATE('Übersicht'!$B$3,1,31),"")</f>
        <v>46418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" priority="1">
      <formula>UPPER(C8)="U"</formula>
    </cfRule>
    <cfRule type="expression" dxfId="2" priority="2">
      <formula>UPPER(C8)="H"</formula>
    </cfRule>
    <cfRule type="expression" dxfId="3" priority="3">
      <formula>UPPER(C8)="K"</formula>
    </cfRule>
  </conditionalFormatting>
  <conditionalFormatting sqref="C4:AG4 C8:AG19">
    <cfRule type="expression" dxfId="4" priority="4">
      <formula>NOT(ISNUMBER(C$7))</formula>
    </cfRule>
    <cfRule type="expression" dxfId="5" priority="5">
      <formula>C$4&lt;&gt;""</formula>
    </cfRule>
    <cfRule type="expression" dxfId="6" priority="6">
      <formula>WEEKDAY(C$7,2)&gt;5</formula>
    </cfRule>
  </conditionalFormatting>
  <conditionalFormatting sqref="C20:AG20">
    <cfRule type="expression" dxfId="7" priority="7">
      <formula>C20&gt;$AH$20</formula>
    </cfRule>
  </conditionalFormatting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/>
      </c>
      <c r="AF6" s="5" t="str">
        <f>IF(ISNUMBER(AF$7),CHOOSE(WEEKDAY(AF$7),"So","Mo","Di","Mi","Do","Fr","Sa"),"")</f>
        <v/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IF(MONTH(DATE('Übersicht'!$B$3,2,1))=2,DATE('Übersicht'!$B$3,2,1),"")</f>
        <v>46419</v>
      </c>
      <c r="D7" s="13">
        <f>IF(MONTH(DATE('Übersicht'!$B$3,2,2))=2,DATE('Übersicht'!$B$3,2,2),"")</f>
        <v>46420</v>
      </c>
      <c r="E7" s="13">
        <f>IF(MONTH(DATE('Übersicht'!$B$3,2,3))=2,DATE('Übersicht'!$B$3,2,3),"")</f>
        <v>46421</v>
      </c>
      <c r="F7" s="13">
        <f>IF(MONTH(DATE('Übersicht'!$B$3,2,4))=2,DATE('Übersicht'!$B$3,2,4),"")</f>
        <v>46422</v>
      </c>
      <c r="G7" s="13">
        <f>IF(MONTH(DATE('Übersicht'!$B$3,2,5))=2,DATE('Übersicht'!$B$3,2,5),"")</f>
        <v>46423</v>
      </c>
      <c r="H7" s="13">
        <f>IF(MONTH(DATE('Übersicht'!$B$3,2,6))=2,DATE('Übersicht'!$B$3,2,6),"")</f>
        <v>46424</v>
      </c>
      <c r="I7" s="13">
        <f>IF(MONTH(DATE('Übersicht'!$B$3,2,7))=2,DATE('Übersicht'!$B$3,2,7),"")</f>
        <v>46425</v>
      </c>
      <c r="J7" s="13">
        <f>IF(MONTH(DATE('Übersicht'!$B$3,2,8))=2,DATE('Übersicht'!$B$3,2,8),"")</f>
        <v>46426</v>
      </c>
      <c r="K7" s="13">
        <f>IF(MONTH(DATE('Übersicht'!$B$3,2,9))=2,DATE('Übersicht'!$B$3,2,9),"")</f>
        <v>46427</v>
      </c>
      <c r="L7" s="13">
        <f>IF(MONTH(DATE('Übersicht'!$B$3,2,10))=2,DATE('Übersicht'!$B$3,2,10),"")</f>
        <v>46428</v>
      </c>
      <c r="M7" s="13">
        <f>IF(MONTH(DATE('Übersicht'!$B$3,2,11))=2,DATE('Übersicht'!$B$3,2,11),"")</f>
        <v>46429</v>
      </c>
      <c r="N7" s="13">
        <f>IF(MONTH(DATE('Übersicht'!$B$3,2,12))=2,DATE('Übersicht'!$B$3,2,12),"")</f>
        <v>46430</v>
      </c>
      <c r="O7" s="13">
        <f>IF(MONTH(DATE('Übersicht'!$B$3,2,13))=2,DATE('Übersicht'!$B$3,2,13),"")</f>
        <v>46431</v>
      </c>
      <c r="P7" s="13">
        <f>IF(MONTH(DATE('Übersicht'!$B$3,2,14))=2,DATE('Übersicht'!$B$3,2,14),"")</f>
        <v>46432</v>
      </c>
      <c r="Q7" s="13">
        <f>IF(MONTH(DATE('Übersicht'!$B$3,2,15))=2,DATE('Übersicht'!$B$3,2,15),"")</f>
        <v>46433</v>
      </c>
      <c r="R7" s="13">
        <f>IF(MONTH(DATE('Übersicht'!$B$3,2,16))=2,DATE('Übersicht'!$B$3,2,16),"")</f>
        <v>46434</v>
      </c>
      <c r="S7" s="13">
        <f>IF(MONTH(DATE('Übersicht'!$B$3,2,17))=2,DATE('Übersicht'!$B$3,2,17),"")</f>
        <v>46435</v>
      </c>
      <c r="T7" s="13">
        <f>IF(MONTH(DATE('Übersicht'!$B$3,2,18))=2,DATE('Übersicht'!$B$3,2,18),"")</f>
        <v>46436</v>
      </c>
      <c r="U7" s="13">
        <f>IF(MONTH(DATE('Übersicht'!$B$3,2,19))=2,DATE('Übersicht'!$B$3,2,19),"")</f>
        <v>46437</v>
      </c>
      <c r="V7" s="13">
        <f>IF(MONTH(DATE('Übersicht'!$B$3,2,20))=2,DATE('Übersicht'!$B$3,2,20),"")</f>
        <v>46438</v>
      </c>
      <c r="W7" s="13">
        <f>IF(MONTH(DATE('Übersicht'!$B$3,2,21))=2,DATE('Übersicht'!$B$3,2,21),"")</f>
        <v>46439</v>
      </c>
      <c r="X7" s="13">
        <f>IF(MONTH(DATE('Übersicht'!$B$3,2,22))=2,DATE('Übersicht'!$B$3,2,22),"")</f>
        <v>46440</v>
      </c>
      <c r="Y7" s="13">
        <f>IF(MONTH(DATE('Übersicht'!$B$3,2,23))=2,DATE('Übersicht'!$B$3,2,23),"")</f>
        <v>46441</v>
      </c>
      <c r="Z7" s="13">
        <f>IF(MONTH(DATE('Übersicht'!$B$3,2,24))=2,DATE('Übersicht'!$B$3,2,24),"")</f>
        <v>46442</v>
      </c>
      <c r="AA7" s="13">
        <f>IF(MONTH(DATE('Übersicht'!$B$3,2,25))=2,DATE('Übersicht'!$B$3,2,25),"")</f>
        <v>46443</v>
      </c>
      <c r="AB7" s="13">
        <f>IF(MONTH(DATE('Übersicht'!$B$3,2,26))=2,DATE('Übersicht'!$B$3,2,26),"")</f>
        <v>46444</v>
      </c>
      <c r="AC7" s="13">
        <f>IF(MONTH(DATE('Übersicht'!$B$3,2,27))=2,DATE('Übersicht'!$B$3,2,27),"")</f>
        <v>46445</v>
      </c>
      <c r="AD7" s="13">
        <f>IF(MONTH(DATE('Übersicht'!$B$3,2,28))=2,DATE('Übersicht'!$B$3,2,28),"")</f>
        <v>46446</v>
      </c>
      <c r="AE7" s="13" t="str">
        <f>IF(MONTH(DATE('Übersicht'!$B$3,2,29))=2,DATE('Übersicht'!$B$3,2,29),"")</f>
        <v/>
      </c>
      <c r="AF7" s="13" t="str">
        <f>IF(MONTH(DATE('Übersicht'!$B$3,2,30))=2,DATE('Übersicht'!$B$3,2,30),"")</f>
        <v/>
      </c>
      <c r="AG7" s="13" t="str">
        <f>IF(MONTH(DATE('Übersicht'!$B$3,2,31))=2,DATE('Übersicht'!$B$3,2,31),"")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 t="s">
        <v>30</v>
      </c>
      <c r="L9" s="16" t="s">
        <v>30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2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8" priority="1">
      <formula>UPPER(C8)="U"</formula>
    </cfRule>
    <cfRule type="expression" dxfId="9" priority="2">
      <formula>UPPER(C8)="H"</formula>
    </cfRule>
    <cfRule type="expression" dxfId="10" priority="3">
      <formula>UPPER(C8)="K"</formula>
    </cfRule>
  </conditionalFormatting>
  <conditionalFormatting sqref="C4:AG4 C8:AG19">
    <cfRule type="expression" dxfId="11" priority="4">
      <formula>NOT(ISNUMBER(C$7))</formula>
    </cfRule>
    <cfRule type="expression" dxfId="12" priority="5">
      <formula>C$4&lt;&gt;""</formula>
    </cfRule>
    <cfRule type="expression" dxfId="13" priority="6">
      <formula>WEEKDAY(C$7,2)&gt;5</formula>
    </cfRule>
  </conditionalFormatting>
  <conditionalFormatting sqref="C20:AG20">
    <cfRule type="expression" dxfId="14" priority="7">
      <formula>C20&gt;$AH$20</formula>
    </cfRule>
  </conditionalFormatting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>Mo</v>
      </c>
      <c r="AF6" s="5" t="str">
        <f>IF(ISNUMBER(AF$7),CHOOSE(WEEKDAY(AF$7),"So","Mo","Di","Mi","Do","Fr","Sa"),"")</f>
        <v>Di</v>
      </c>
      <c r="AG6" s="5" t="str">
        <f>IF(ISNUMBER(AG$7),CHOOSE(WEEKDAY(AG$7),"So","Mo","Di","Mi","Do","Fr","Sa"),"")</f>
        <v>Mi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IF(MONTH(DATE('Übersicht'!$B$3,3,1))=3,DATE('Übersicht'!$B$3,3,1),"")</f>
        <v>46447</v>
      </c>
      <c r="D7" s="13">
        <f>IF(MONTH(DATE('Übersicht'!$B$3,3,2))=3,DATE('Übersicht'!$B$3,3,2),"")</f>
        <v>46448</v>
      </c>
      <c r="E7" s="13">
        <f>IF(MONTH(DATE('Übersicht'!$B$3,3,3))=3,DATE('Übersicht'!$B$3,3,3),"")</f>
        <v>46449</v>
      </c>
      <c r="F7" s="13">
        <f>IF(MONTH(DATE('Übersicht'!$B$3,3,4))=3,DATE('Übersicht'!$B$3,3,4),"")</f>
        <v>46450</v>
      </c>
      <c r="G7" s="13">
        <f>IF(MONTH(DATE('Übersicht'!$B$3,3,5))=3,DATE('Übersicht'!$B$3,3,5),"")</f>
        <v>46451</v>
      </c>
      <c r="H7" s="13">
        <f>IF(MONTH(DATE('Übersicht'!$B$3,3,6))=3,DATE('Übersicht'!$B$3,3,6),"")</f>
        <v>46452</v>
      </c>
      <c r="I7" s="13">
        <f>IF(MONTH(DATE('Übersicht'!$B$3,3,7))=3,DATE('Übersicht'!$B$3,3,7),"")</f>
        <v>46453</v>
      </c>
      <c r="J7" s="13">
        <f>IF(MONTH(DATE('Übersicht'!$B$3,3,8))=3,DATE('Übersicht'!$B$3,3,8),"")</f>
        <v>46454</v>
      </c>
      <c r="K7" s="13">
        <f>IF(MONTH(DATE('Übersicht'!$B$3,3,9))=3,DATE('Übersicht'!$B$3,3,9),"")</f>
        <v>46455</v>
      </c>
      <c r="L7" s="13">
        <f>IF(MONTH(DATE('Übersicht'!$B$3,3,10))=3,DATE('Übersicht'!$B$3,3,10),"")</f>
        <v>46456</v>
      </c>
      <c r="M7" s="13">
        <f>IF(MONTH(DATE('Übersicht'!$B$3,3,11))=3,DATE('Übersicht'!$B$3,3,11),"")</f>
        <v>46457</v>
      </c>
      <c r="N7" s="13">
        <f>IF(MONTH(DATE('Übersicht'!$B$3,3,12))=3,DATE('Übersicht'!$B$3,3,12),"")</f>
        <v>46458</v>
      </c>
      <c r="O7" s="13">
        <f>IF(MONTH(DATE('Übersicht'!$B$3,3,13))=3,DATE('Übersicht'!$B$3,3,13),"")</f>
        <v>46459</v>
      </c>
      <c r="P7" s="13">
        <f>IF(MONTH(DATE('Übersicht'!$B$3,3,14))=3,DATE('Übersicht'!$B$3,3,14),"")</f>
        <v>46460</v>
      </c>
      <c r="Q7" s="13">
        <f>IF(MONTH(DATE('Übersicht'!$B$3,3,15))=3,DATE('Übersicht'!$B$3,3,15),"")</f>
        <v>46461</v>
      </c>
      <c r="R7" s="13">
        <f>IF(MONTH(DATE('Übersicht'!$B$3,3,16))=3,DATE('Übersicht'!$B$3,3,16),"")</f>
        <v>46462</v>
      </c>
      <c r="S7" s="13">
        <f>IF(MONTH(DATE('Übersicht'!$B$3,3,17))=3,DATE('Übersicht'!$B$3,3,17),"")</f>
        <v>46463</v>
      </c>
      <c r="T7" s="13">
        <f>IF(MONTH(DATE('Übersicht'!$B$3,3,18))=3,DATE('Übersicht'!$B$3,3,18),"")</f>
        <v>46464</v>
      </c>
      <c r="U7" s="13">
        <f>IF(MONTH(DATE('Übersicht'!$B$3,3,19))=3,DATE('Übersicht'!$B$3,3,19),"")</f>
        <v>46465</v>
      </c>
      <c r="V7" s="13">
        <f>IF(MONTH(DATE('Übersicht'!$B$3,3,20))=3,DATE('Übersicht'!$B$3,3,20),"")</f>
        <v>46466</v>
      </c>
      <c r="W7" s="13">
        <f>IF(MONTH(DATE('Übersicht'!$B$3,3,21))=3,DATE('Übersicht'!$B$3,3,21),"")</f>
        <v>46467</v>
      </c>
      <c r="X7" s="13">
        <f>IF(MONTH(DATE('Übersicht'!$B$3,3,22))=3,DATE('Übersicht'!$B$3,3,22),"")</f>
        <v>46468</v>
      </c>
      <c r="Y7" s="13">
        <f>IF(MONTH(DATE('Übersicht'!$B$3,3,23))=3,DATE('Übersicht'!$B$3,3,23),"")</f>
        <v>46469</v>
      </c>
      <c r="Z7" s="13">
        <f>IF(MONTH(DATE('Übersicht'!$B$3,3,24))=3,DATE('Übersicht'!$B$3,3,24),"")</f>
        <v>46470</v>
      </c>
      <c r="AA7" s="13">
        <f>IF(MONTH(DATE('Übersicht'!$B$3,3,25))=3,DATE('Übersicht'!$B$3,3,25),"")</f>
        <v>46471</v>
      </c>
      <c r="AB7" s="13">
        <f>IF(MONTH(DATE('Übersicht'!$B$3,3,26))=3,DATE('Übersicht'!$B$3,3,26),"")</f>
        <v>46472</v>
      </c>
      <c r="AC7" s="13">
        <f>IF(MONTH(DATE('Übersicht'!$B$3,3,27))=3,DATE('Übersicht'!$B$3,3,27),"")</f>
        <v>46473</v>
      </c>
      <c r="AD7" s="13">
        <f>IF(MONTH(DATE('Übersicht'!$B$3,3,28))=3,DATE('Übersicht'!$B$3,3,28),"")</f>
        <v>46474</v>
      </c>
      <c r="AE7" s="13">
        <f>IF(MONTH(DATE('Übersicht'!$B$3,3,29))=3,DATE('Übersicht'!$B$3,3,29),"")</f>
        <v>46475</v>
      </c>
      <c r="AF7" s="13">
        <f>IF(MONTH(DATE('Übersicht'!$B$3,3,30))=3,DATE('Übersicht'!$B$3,3,30),"")</f>
        <v>46476</v>
      </c>
      <c r="AG7" s="13">
        <f>IF(MONTH(DATE('Übersicht'!$B$3,3,31))=3,DATE('Übersicht'!$B$3,3,31),"")</f>
        <v>46477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 t="s">
        <v>30</v>
      </c>
      <c r="S11" s="16" t="s">
        <v>30</v>
      </c>
      <c r="T11" s="16" t="s">
        <v>30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3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1</v>
      </c>
      <c r="S20" s="18">
        <f>COUNTIF(S8:S19,"U")+COUNTIF(S8:S19,"H")+COUNTIF(S8:S19,"K")</f>
        <v>1</v>
      </c>
      <c r="T20" s="18">
        <f>COUNTIF(T8:T19,"U")+COUNTIF(T8:T19,"H")+COUNTIF(T8:T19,"K")</f>
        <v>1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5" priority="1">
      <formula>UPPER(C8)="U"</formula>
    </cfRule>
    <cfRule type="expression" dxfId="16" priority="2">
      <formula>UPPER(C8)="H"</formula>
    </cfRule>
    <cfRule type="expression" dxfId="17" priority="3">
      <formula>UPPER(C8)="K"</formula>
    </cfRule>
  </conditionalFormatting>
  <conditionalFormatting sqref="C4:AG4 C8:AG19">
    <cfRule type="expression" dxfId="18" priority="4">
      <formula>NOT(ISNUMBER(C$7))</formula>
    </cfRule>
    <cfRule type="expression" dxfId="19" priority="5">
      <formula>C$4&lt;&gt;""</formula>
    </cfRule>
    <cfRule type="expression" dxfId="20" priority="6">
      <formula>WEEKDAY(C$7,2)&gt;5</formula>
    </cfRule>
  </conditionalFormatting>
  <conditionalFormatting sqref="C20:AG20">
    <cfRule type="expression" dxfId="21" priority="7">
      <formula>C20&gt;$AH$20</formula>
    </cfRule>
  </conditionalFormatting>
  <pageSetup paperSize="9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IF(MONTH(DATE('Übersicht'!$B$3,4,1))=4,DATE('Übersicht'!$B$3,4,1),"")</f>
        <v>46478</v>
      </c>
      <c r="D7" s="13">
        <f>IF(MONTH(DATE('Übersicht'!$B$3,4,2))=4,DATE('Übersicht'!$B$3,4,2),"")</f>
        <v>46479</v>
      </c>
      <c r="E7" s="13">
        <f>IF(MONTH(DATE('Übersicht'!$B$3,4,3))=4,DATE('Übersicht'!$B$3,4,3),"")</f>
        <v>46480</v>
      </c>
      <c r="F7" s="13">
        <f>IF(MONTH(DATE('Übersicht'!$B$3,4,4))=4,DATE('Übersicht'!$B$3,4,4),"")</f>
        <v>46481</v>
      </c>
      <c r="G7" s="13">
        <f>IF(MONTH(DATE('Übersicht'!$B$3,4,5))=4,DATE('Übersicht'!$B$3,4,5),"")</f>
        <v>46482</v>
      </c>
      <c r="H7" s="13">
        <f>IF(MONTH(DATE('Übersicht'!$B$3,4,6))=4,DATE('Übersicht'!$B$3,4,6),"")</f>
        <v>46483</v>
      </c>
      <c r="I7" s="13">
        <f>IF(MONTH(DATE('Übersicht'!$B$3,4,7))=4,DATE('Übersicht'!$B$3,4,7),"")</f>
        <v>46484</v>
      </c>
      <c r="J7" s="13">
        <f>IF(MONTH(DATE('Übersicht'!$B$3,4,8))=4,DATE('Übersicht'!$B$3,4,8),"")</f>
        <v>46485</v>
      </c>
      <c r="K7" s="13">
        <f>IF(MONTH(DATE('Übersicht'!$B$3,4,9))=4,DATE('Übersicht'!$B$3,4,9),"")</f>
        <v>46486</v>
      </c>
      <c r="L7" s="13">
        <f>IF(MONTH(DATE('Übersicht'!$B$3,4,10))=4,DATE('Übersicht'!$B$3,4,10),"")</f>
        <v>46487</v>
      </c>
      <c r="M7" s="13">
        <f>IF(MONTH(DATE('Übersicht'!$B$3,4,11))=4,DATE('Übersicht'!$B$3,4,11),"")</f>
        <v>46488</v>
      </c>
      <c r="N7" s="13">
        <f>IF(MONTH(DATE('Übersicht'!$B$3,4,12))=4,DATE('Übersicht'!$B$3,4,12),"")</f>
        <v>46489</v>
      </c>
      <c r="O7" s="13">
        <f>IF(MONTH(DATE('Übersicht'!$B$3,4,13))=4,DATE('Übersicht'!$B$3,4,13),"")</f>
        <v>46490</v>
      </c>
      <c r="P7" s="13">
        <f>IF(MONTH(DATE('Übersicht'!$B$3,4,14))=4,DATE('Übersicht'!$B$3,4,14),"")</f>
        <v>46491</v>
      </c>
      <c r="Q7" s="13">
        <f>IF(MONTH(DATE('Übersicht'!$B$3,4,15))=4,DATE('Übersicht'!$B$3,4,15),"")</f>
        <v>46492</v>
      </c>
      <c r="R7" s="13">
        <f>IF(MONTH(DATE('Übersicht'!$B$3,4,16))=4,DATE('Übersicht'!$B$3,4,16),"")</f>
        <v>46493</v>
      </c>
      <c r="S7" s="13">
        <f>IF(MONTH(DATE('Übersicht'!$B$3,4,17))=4,DATE('Übersicht'!$B$3,4,17),"")</f>
        <v>46494</v>
      </c>
      <c r="T7" s="13">
        <f>IF(MONTH(DATE('Übersicht'!$B$3,4,18))=4,DATE('Übersicht'!$B$3,4,18),"")</f>
        <v>46495</v>
      </c>
      <c r="U7" s="13">
        <f>IF(MONTH(DATE('Übersicht'!$B$3,4,19))=4,DATE('Übersicht'!$B$3,4,19),"")</f>
        <v>46496</v>
      </c>
      <c r="V7" s="13">
        <f>IF(MONTH(DATE('Übersicht'!$B$3,4,20))=4,DATE('Übersicht'!$B$3,4,20),"")</f>
        <v>46497</v>
      </c>
      <c r="W7" s="13">
        <f>IF(MONTH(DATE('Übersicht'!$B$3,4,21))=4,DATE('Übersicht'!$B$3,4,21),"")</f>
        <v>46498</v>
      </c>
      <c r="X7" s="13">
        <f>IF(MONTH(DATE('Übersicht'!$B$3,4,22))=4,DATE('Übersicht'!$B$3,4,22),"")</f>
        <v>46499</v>
      </c>
      <c r="Y7" s="13">
        <f>IF(MONTH(DATE('Übersicht'!$B$3,4,23))=4,DATE('Übersicht'!$B$3,4,23),"")</f>
        <v>46500</v>
      </c>
      <c r="Z7" s="13">
        <f>IF(MONTH(DATE('Übersicht'!$B$3,4,24))=4,DATE('Übersicht'!$B$3,4,24),"")</f>
        <v>46501</v>
      </c>
      <c r="AA7" s="13">
        <f>IF(MONTH(DATE('Übersicht'!$B$3,4,25))=4,DATE('Übersicht'!$B$3,4,25),"")</f>
        <v>46502</v>
      </c>
      <c r="AB7" s="13">
        <f>IF(MONTH(DATE('Übersicht'!$B$3,4,26))=4,DATE('Übersicht'!$B$3,4,26),"")</f>
        <v>46503</v>
      </c>
      <c r="AC7" s="13">
        <f>IF(MONTH(DATE('Übersicht'!$B$3,4,27))=4,DATE('Übersicht'!$B$3,4,27),"")</f>
        <v>46504</v>
      </c>
      <c r="AD7" s="13">
        <f>IF(MONTH(DATE('Übersicht'!$B$3,4,28))=4,DATE('Übersicht'!$B$3,4,28),"")</f>
        <v>46505</v>
      </c>
      <c r="AE7" s="13">
        <f>IF(MONTH(DATE('Übersicht'!$B$3,4,29))=4,DATE('Übersicht'!$B$3,4,29),"")</f>
        <v>46506</v>
      </c>
      <c r="AF7" s="13">
        <f>IF(MONTH(DATE('Übersicht'!$B$3,4,30))=4,DATE('Übersicht'!$B$3,4,30),"")</f>
        <v>46507</v>
      </c>
      <c r="AG7" s="13" t="str">
        <f>IF(MONTH(DATE('Übersicht'!$B$3,4,31))=4,DATE('Übersicht'!$B$3,4,31),"")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 t="s">
        <v>33</v>
      </c>
      <c r="I8" s="16" t="s">
        <v>33</v>
      </c>
      <c r="J8" s="16" t="s">
        <v>33</v>
      </c>
      <c r="K8" s="16" t="s">
        <v>33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4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1</v>
      </c>
      <c r="I20" s="18">
        <f>COUNTIF(I8:I19,"U")+COUNTIF(I8:I19,"H")+COUNTIF(I8:I19,"K")</f>
        <v>1</v>
      </c>
      <c r="J20" s="18">
        <f>COUNTIF(J8:J19,"U")+COUNTIF(J8:J19,"H")+COUNTIF(J8:J19,"K")</f>
        <v>1</v>
      </c>
      <c r="K20" s="18">
        <f>COUNTIF(K8:K19,"U")+COUNTIF(K8:K19,"H")+COUNTIF(K8:K19,"K")</f>
        <v>1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2" priority="1">
      <formula>UPPER(C8)="U"</formula>
    </cfRule>
    <cfRule type="expression" dxfId="23" priority="2">
      <formula>UPPER(C8)="H"</formula>
    </cfRule>
    <cfRule type="expression" dxfId="24" priority="3">
      <formula>UPPER(C8)="K"</formula>
    </cfRule>
  </conditionalFormatting>
  <conditionalFormatting sqref="C4:AG4 C8:AG19">
    <cfRule type="expression" dxfId="25" priority="4">
      <formula>NOT(ISNUMBER(C$7))</formula>
    </cfRule>
    <cfRule type="expression" dxfId="26" priority="5">
      <formula>C$4&lt;&gt;""</formula>
    </cfRule>
    <cfRule type="expression" dxfId="27" priority="6">
      <formula>WEEKDAY(C$7,2)&gt;5</formula>
    </cfRule>
  </conditionalFormatting>
  <conditionalFormatting sqref="C20:AG20">
    <cfRule type="expression" dxfId="28" priority="7">
      <formula>C20&gt;$AH$20</formula>
    </cfRule>
  </conditionalFormatting>
  <pageSetup paperSize="9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Sa</v>
      </c>
      <c r="D6" s="5" t="str">
        <f>IF(ISNUMBER(D$7),CHOOSE(WEEKDAY(D$7),"So","Mo","Di","Mi","Do","Fr","Sa"),"")</f>
        <v>So</v>
      </c>
      <c r="E6" s="5" t="str">
        <f>IF(ISNUMBER(E$7),CHOOSE(WEEKDAY(E$7),"So","Mo","Di","Mi","Do","Fr","Sa"),"")</f>
        <v>Mo</v>
      </c>
      <c r="F6" s="5" t="str">
        <f>IF(ISNUMBER(F$7),CHOOSE(WEEKDAY(F$7),"So","Mo","Di","Mi","Do","Fr","Sa"),"")</f>
        <v>Di</v>
      </c>
      <c r="G6" s="5" t="str">
        <f>IF(ISNUMBER(G$7),CHOOSE(WEEKDAY(G$7),"So","Mo","Di","Mi","Do","Fr","Sa"),"")</f>
        <v>Mi</v>
      </c>
      <c r="H6" s="5" t="str">
        <f>IF(ISNUMBER(H$7),CHOOSE(WEEKDAY(H$7),"So","Mo","Di","Mi","Do","Fr","Sa"),"")</f>
        <v>Do</v>
      </c>
      <c r="I6" s="5" t="str">
        <f>IF(ISNUMBER(I$7),CHOOSE(WEEKDAY(I$7),"So","Mo","Di","Mi","Do","Fr","Sa"),"")</f>
        <v>Fr</v>
      </c>
      <c r="J6" s="5" t="str">
        <f>IF(ISNUMBER(J$7),CHOOSE(WEEKDAY(J$7),"So","Mo","Di","Mi","Do","Fr","Sa"),"")</f>
        <v>Sa</v>
      </c>
      <c r="K6" s="5" t="str">
        <f>IF(ISNUMBER(K$7),CHOOSE(WEEKDAY(K$7),"So","Mo","Di","Mi","Do","Fr","Sa"),"")</f>
        <v>So</v>
      </c>
      <c r="L6" s="5" t="str">
        <f>IF(ISNUMBER(L$7),CHOOSE(WEEKDAY(L$7),"So","Mo","Di","Mi","Do","Fr","Sa"),"")</f>
        <v>Mo</v>
      </c>
      <c r="M6" s="5" t="str">
        <f>IF(ISNUMBER(M$7),CHOOSE(WEEKDAY(M$7),"So","Mo","Di","Mi","Do","Fr","Sa"),"")</f>
        <v>Di</v>
      </c>
      <c r="N6" s="5" t="str">
        <f>IF(ISNUMBER(N$7),CHOOSE(WEEKDAY(N$7),"So","Mo","Di","Mi","Do","Fr","Sa"),"")</f>
        <v>Mi</v>
      </c>
      <c r="O6" s="5" t="str">
        <f>IF(ISNUMBER(O$7),CHOOSE(WEEKDAY(O$7),"So","Mo","Di","Mi","Do","Fr","Sa"),"")</f>
        <v>Do</v>
      </c>
      <c r="P6" s="5" t="str">
        <f>IF(ISNUMBER(P$7),CHOOSE(WEEKDAY(P$7),"So","Mo","Di","Mi","Do","Fr","Sa"),"")</f>
        <v>Fr</v>
      </c>
      <c r="Q6" s="5" t="str">
        <f>IF(ISNUMBER(Q$7),CHOOSE(WEEKDAY(Q$7),"So","Mo","Di","Mi","Do","Fr","Sa"),"")</f>
        <v>Sa</v>
      </c>
      <c r="R6" s="5" t="str">
        <f>IF(ISNUMBER(R$7),CHOOSE(WEEKDAY(R$7),"So","Mo","Di","Mi","Do","Fr","Sa"),"")</f>
        <v>So</v>
      </c>
      <c r="S6" s="5" t="str">
        <f>IF(ISNUMBER(S$7),CHOOSE(WEEKDAY(S$7),"So","Mo","Di","Mi","Do","Fr","Sa"),"")</f>
        <v>Mo</v>
      </c>
      <c r="T6" s="5" t="str">
        <f>IF(ISNUMBER(T$7),CHOOSE(WEEKDAY(T$7),"So","Mo","Di","Mi","Do","Fr","Sa"),"")</f>
        <v>Di</v>
      </c>
      <c r="U6" s="5" t="str">
        <f>IF(ISNUMBER(U$7),CHOOSE(WEEKDAY(U$7),"So","Mo","Di","Mi","Do","Fr","Sa"),"")</f>
        <v>Mi</v>
      </c>
      <c r="V6" s="5" t="str">
        <f>IF(ISNUMBER(V$7),CHOOSE(WEEKDAY(V$7),"So","Mo","Di","Mi","Do","Fr","Sa"),"")</f>
        <v>Do</v>
      </c>
      <c r="W6" s="5" t="str">
        <f>IF(ISNUMBER(W$7),CHOOSE(WEEKDAY(W$7),"So","Mo","Di","Mi","Do","Fr","Sa"),"")</f>
        <v>Fr</v>
      </c>
      <c r="X6" s="5" t="str">
        <f>IF(ISNUMBER(X$7),CHOOSE(WEEKDAY(X$7),"So","Mo","Di","Mi","Do","Fr","Sa"),"")</f>
        <v>Sa</v>
      </c>
      <c r="Y6" s="5" t="str">
        <f>IF(ISNUMBER(Y$7),CHOOSE(WEEKDAY(Y$7),"So","Mo","Di","Mi","Do","Fr","Sa"),"")</f>
        <v>So</v>
      </c>
      <c r="Z6" s="5" t="str">
        <f>IF(ISNUMBER(Z$7),CHOOSE(WEEKDAY(Z$7),"So","Mo","Di","Mi","Do","Fr","Sa"),"")</f>
        <v>Mo</v>
      </c>
      <c r="AA6" s="5" t="str">
        <f>IF(ISNUMBER(AA$7),CHOOSE(WEEKDAY(AA$7),"So","Mo","Di","Mi","Do","Fr","Sa"),"")</f>
        <v>Di</v>
      </c>
      <c r="AB6" s="5" t="str">
        <f>IF(ISNUMBER(AB$7),CHOOSE(WEEKDAY(AB$7),"So","Mo","Di","Mi","Do","Fr","Sa"),"")</f>
        <v>Mi</v>
      </c>
      <c r="AC6" s="5" t="str">
        <f>IF(ISNUMBER(AC$7),CHOOSE(WEEKDAY(AC$7),"So","Mo","Di","Mi","Do","Fr","Sa"),"")</f>
        <v>Do</v>
      </c>
      <c r="AD6" s="5" t="str">
        <f>IF(ISNUMBER(AD$7),CHOOSE(WEEKDAY(AD$7),"So","Mo","Di","Mi","Do","Fr","Sa"),"")</f>
        <v>Fr</v>
      </c>
      <c r="AE6" s="5" t="str">
        <f>IF(ISNUMBER(AE$7),CHOOSE(WEEKDAY(AE$7),"So","Mo","Di","Mi","Do","Fr","Sa"),"")</f>
        <v>Sa</v>
      </c>
      <c r="AF6" s="5" t="str">
        <f>IF(ISNUMBER(AF$7),CHOOSE(WEEKDAY(AF$7),"So","Mo","Di","Mi","Do","Fr","Sa"),"")</f>
        <v>So</v>
      </c>
      <c r="AG6" s="5" t="str">
        <f>IF(ISNUMBER(AG$7),CHOOSE(WEEKDAY(AG$7),"So","Mo","Di","Mi","Do","Fr","Sa"),"")</f>
        <v>Mo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IF(MONTH(DATE('Übersicht'!$B$3,5,1))=5,DATE('Übersicht'!$B$3,5,1),"")</f>
        <v>46508</v>
      </c>
      <c r="D7" s="13">
        <f>IF(MONTH(DATE('Übersicht'!$B$3,5,2))=5,DATE('Übersicht'!$B$3,5,2),"")</f>
        <v>46509</v>
      </c>
      <c r="E7" s="13">
        <f>IF(MONTH(DATE('Übersicht'!$B$3,5,3))=5,DATE('Übersicht'!$B$3,5,3),"")</f>
        <v>46510</v>
      </c>
      <c r="F7" s="13">
        <f>IF(MONTH(DATE('Übersicht'!$B$3,5,4))=5,DATE('Übersicht'!$B$3,5,4),"")</f>
        <v>46511</v>
      </c>
      <c r="G7" s="13">
        <f>IF(MONTH(DATE('Übersicht'!$B$3,5,5))=5,DATE('Übersicht'!$B$3,5,5),"")</f>
        <v>46512</v>
      </c>
      <c r="H7" s="13">
        <f>IF(MONTH(DATE('Übersicht'!$B$3,5,6))=5,DATE('Übersicht'!$B$3,5,6),"")</f>
        <v>46513</v>
      </c>
      <c r="I7" s="13">
        <f>IF(MONTH(DATE('Übersicht'!$B$3,5,7))=5,DATE('Übersicht'!$B$3,5,7),"")</f>
        <v>46514</v>
      </c>
      <c r="J7" s="13">
        <f>IF(MONTH(DATE('Übersicht'!$B$3,5,8))=5,DATE('Übersicht'!$B$3,5,8),"")</f>
        <v>46515</v>
      </c>
      <c r="K7" s="13">
        <f>IF(MONTH(DATE('Übersicht'!$B$3,5,9))=5,DATE('Übersicht'!$B$3,5,9),"")</f>
        <v>46516</v>
      </c>
      <c r="L7" s="13">
        <f>IF(MONTH(DATE('Übersicht'!$B$3,5,10))=5,DATE('Übersicht'!$B$3,5,10),"")</f>
        <v>46517</v>
      </c>
      <c r="M7" s="13">
        <f>IF(MONTH(DATE('Übersicht'!$B$3,5,11))=5,DATE('Übersicht'!$B$3,5,11),"")</f>
        <v>46518</v>
      </c>
      <c r="N7" s="13">
        <f>IF(MONTH(DATE('Übersicht'!$B$3,5,12))=5,DATE('Übersicht'!$B$3,5,12),"")</f>
        <v>46519</v>
      </c>
      <c r="O7" s="13">
        <f>IF(MONTH(DATE('Übersicht'!$B$3,5,13))=5,DATE('Übersicht'!$B$3,5,13),"")</f>
        <v>46520</v>
      </c>
      <c r="P7" s="13">
        <f>IF(MONTH(DATE('Übersicht'!$B$3,5,14))=5,DATE('Übersicht'!$B$3,5,14),"")</f>
        <v>46521</v>
      </c>
      <c r="Q7" s="13">
        <f>IF(MONTH(DATE('Übersicht'!$B$3,5,15))=5,DATE('Übersicht'!$B$3,5,15),"")</f>
        <v>46522</v>
      </c>
      <c r="R7" s="13">
        <f>IF(MONTH(DATE('Übersicht'!$B$3,5,16))=5,DATE('Übersicht'!$B$3,5,16),"")</f>
        <v>46523</v>
      </c>
      <c r="S7" s="13">
        <f>IF(MONTH(DATE('Übersicht'!$B$3,5,17))=5,DATE('Übersicht'!$B$3,5,17),"")</f>
        <v>46524</v>
      </c>
      <c r="T7" s="13">
        <f>IF(MONTH(DATE('Übersicht'!$B$3,5,18))=5,DATE('Übersicht'!$B$3,5,18),"")</f>
        <v>46525</v>
      </c>
      <c r="U7" s="13">
        <f>IF(MONTH(DATE('Übersicht'!$B$3,5,19))=5,DATE('Übersicht'!$B$3,5,19),"")</f>
        <v>46526</v>
      </c>
      <c r="V7" s="13">
        <f>IF(MONTH(DATE('Übersicht'!$B$3,5,20))=5,DATE('Übersicht'!$B$3,5,20),"")</f>
        <v>46527</v>
      </c>
      <c r="W7" s="13">
        <f>IF(MONTH(DATE('Übersicht'!$B$3,5,21))=5,DATE('Übersicht'!$B$3,5,21),"")</f>
        <v>46528</v>
      </c>
      <c r="X7" s="13">
        <f>IF(MONTH(DATE('Übersicht'!$B$3,5,22))=5,DATE('Übersicht'!$B$3,5,22),"")</f>
        <v>46529</v>
      </c>
      <c r="Y7" s="13">
        <f>IF(MONTH(DATE('Übersicht'!$B$3,5,23))=5,DATE('Übersicht'!$B$3,5,23),"")</f>
        <v>46530</v>
      </c>
      <c r="Z7" s="13">
        <f>IF(MONTH(DATE('Übersicht'!$B$3,5,24))=5,DATE('Übersicht'!$B$3,5,24),"")</f>
        <v>46531</v>
      </c>
      <c r="AA7" s="13">
        <f>IF(MONTH(DATE('Übersicht'!$B$3,5,25))=5,DATE('Übersicht'!$B$3,5,25),"")</f>
        <v>46532</v>
      </c>
      <c r="AB7" s="13">
        <f>IF(MONTH(DATE('Übersicht'!$B$3,5,26))=5,DATE('Übersicht'!$B$3,5,26),"")</f>
        <v>46533</v>
      </c>
      <c r="AC7" s="13">
        <f>IF(MONTH(DATE('Übersicht'!$B$3,5,27))=5,DATE('Übersicht'!$B$3,5,27),"")</f>
        <v>46534</v>
      </c>
      <c r="AD7" s="13">
        <f>IF(MONTH(DATE('Übersicht'!$B$3,5,28))=5,DATE('Übersicht'!$B$3,5,28),"")</f>
        <v>46535</v>
      </c>
      <c r="AE7" s="13">
        <f>IF(MONTH(DATE('Übersicht'!$B$3,5,29))=5,DATE('Übersicht'!$B$3,5,29),"")</f>
        <v>46536</v>
      </c>
      <c r="AF7" s="13">
        <f>IF(MONTH(DATE('Übersicht'!$B$3,5,30))=5,DATE('Übersicht'!$B$3,5,30),"")</f>
        <v>46537</v>
      </c>
      <c r="AG7" s="13">
        <f>IF(MONTH(DATE('Übersicht'!$B$3,5,31))=5,DATE('Übersicht'!$B$3,5,31),"")</f>
        <v>46538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33</v>
      </c>
      <c r="U9" s="16" t="s">
        <v>33</v>
      </c>
      <c r="V9" s="16" t="s">
        <v>33</v>
      </c>
      <c r="W9" s="16" t="s">
        <v>33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4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1</v>
      </c>
      <c r="U20" s="18">
        <f>COUNTIF(U8:U19,"U")+COUNTIF(U8:U19,"H")+COUNTIF(U8:U19,"K")</f>
        <v>1</v>
      </c>
      <c r="V20" s="18">
        <f>COUNTIF(V8:V19,"U")+COUNTIF(V8:V19,"H")+COUNTIF(V8:V19,"K")</f>
        <v>1</v>
      </c>
      <c r="W20" s="18">
        <f>COUNTIF(W8:W19,"U")+COUNTIF(W8:W19,"H")+COUNTIF(W8:W19,"K")</f>
        <v>1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9" priority="1">
      <formula>UPPER(C8)="U"</formula>
    </cfRule>
    <cfRule type="expression" dxfId="30" priority="2">
      <formula>UPPER(C8)="H"</formula>
    </cfRule>
    <cfRule type="expression" dxfId="31" priority="3">
      <formula>UPPER(C8)="K"</formula>
    </cfRule>
  </conditionalFormatting>
  <conditionalFormatting sqref="C4:AG4 C8:AG19">
    <cfRule type="expression" dxfId="32" priority="4">
      <formula>NOT(ISNUMBER(C$7))</formula>
    </cfRule>
    <cfRule type="expression" dxfId="33" priority="5">
      <formula>C$4&lt;&gt;""</formula>
    </cfRule>
    <cfRule type="expression" dxfId="34" priority="6">
      <formula>WEEKDAY(C$7,2)&gt;5</formula>
    </cfRule>
  </conditionalFormatting>
  <conditionalFormatting sqref="C20:AG20">
    <cfRule type="expression" dxfId="35" priority="7">
      <formula>C20&gt;$AH$20</formula>
    </cfRule>
  </conditionalFormatting>
  <pageSetup paperSize="9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Di</v>
      </c>
      <c r="D6" s="5" t="str">
        <f>IF(ISNUMBER(D$7),CHOOSE(WEEKDAY(D$7),"So","Mo","Di","Mi","Do","Fr","Sa"),"")</f>
        <v>Mi</v>
      </c>
      <c r="E6" s="5" t="str">
        <f>IF(ISNUMBER(E$7),CHOOSE(WEEKDAY(E$7),"So","Mo","Di","Mi","Do","Fr","Sa"),"")</f>
        <v>Do</v>
      </c>
      <c r="F6" s="5" t="str">
        <f>IF(ISNUMBER(F$7),CHOOSE(WEEKDAY(F$7),"So","Mo","Di","Mi","Do","Fr","Sa"),"")</f>
        <v>Fr</v>
      </c>
      <c r="G6" s="5" t="str">
        <f>IF(ISNUMBER(G$7),CHOOSE(WEEKDAY(G$7),"So","Mo","Di","Mi","Do","Fr","Sa"),"")</f>
        <v>Sa</v>
      </c>
      <c r="H6" s="5" t="str">
        <f>IF(ISNUMBER(H$7),CHOOSE(WEEKDAY(H$7),"So","Mo","Di","Mi","Do","Fr","Sa"),"")</f>
        <v>So</v>
      </c>
      <c r="I6" s="5" t="str">
        <f>IF(ISNUMBER(I$7),CHOOSE(WEEKDAY(I$7),"So","Mo","Di","Mi","Do","Fr","Sa"),"")</f>
        <v>Mo</v>
      </c>
      <c r="J6" s="5" t="str">
        <f>IF(ISNUMBER(J$7),CHOOSE(WEEKDAY(J$7),"So","Mo","Di","Mi","Do","Fr","Sa"),"")</f>
        <v>Di</v>
      </c>
      <c r="K6" s="5" t="str">
        <f>IF(ISNUMBER(K$7),CHOOSE(WEEKDAY(K$7),"So","Mo","Di","Mi","Do","Fr","Sa"),"")</f>
        <v>Mi</v>
      </c>
      <c r="L6" s="5" t="str">
        <f>IF(ISNUMBER(L$7),CHOOSE(WEEKDAY(L$7),"So","Mo","Di","Mi","Do","Fr","Sa"),"")</f>
        <v>Do</v>
      </c>
      <c r="M6" s="5" t="str">
        <f>IF(ISNUMBER(M$7),CHOOSE(WEEKDAY(M$7),"So","Mo","Di","Mi","Do","Fr","Sa"),"")</f>
        <v>Fr</v>
      </c>
      <c r="N6" s="5" t="str">
        <f>IF(ISNUMBER(N$7),CHOOSE(WEEKDAY(N$7),"So","Mo","Di","Mi","Do","Fr","Sa"),"")</f>
        <v>Sa</v>
      </c>
      <c r="O6" s="5" t="str">
        <f>IF(ISNUMBER(O$7),CHOOSE(WEEKDAY(O$7),"So","Mo","Di","Mi","Do","Fr","Sa"),"")</f>
        <v>So</v>
      </c>
      <c r="P6" s="5" t="str">
        <f>IF(ISNUMBER(P$7),CHOOSE(WEEKDAY(P$7),"So","Mo","Di","Mi","Do","Fr","Sa"),"")</f>
        <v>Mo</v>
      </c>
      <c r="Q6" s="5" t="str">
        <f>IF(ISNUMBER(Q$7),CHOOSE(WEEKDAY(Q$7),"So","Mo","Di","Mi","Do","Fr","Sa"),"")</f>
        <v>Di</v>
      </c>
      <c r="R6" s="5" t="str">
        <f>IF(ISNUMBER(R$7),CHOOSE(WEEKDAY(R$7),"So","Mo","Di","Mi","Do","Fr","Sa"),"")</f>
        <v>Mi</v>
      </c>
      <c r="S6" s="5" t="str">
        <f>IF(ISNUMBER(S$7),CHOOSE(WEEKDAY(S$7),"So","Mo","Di","Mi","Do","Fr","Sa"),"")</f>
        <v>Do</v>
      </c>
      <c r="T6" s="5" t="str">
        <f>IF(ISNUMBER(T$7),CHOOSE(WEEKDAY(T$7),"So","Mo","Di","Mi","Do","Fr","Sa"),"")</f>
        <v>Fr</v>
      </c>
      <c r="U6" s="5" t="str">
        <f>IF(ISNUMBER(U$7),CHOOSE(WEEKDAY(U$7),"So","Mo","Di","Mi","Do","Fr","Sa"),"")</f>
        <v>Sa</v>
      </c>
      <c r="V6" s="5" t="str">
        <f>IF(ISNUMBER(V$7),CHOOSE(WEEKDAY(V$7),"So","Mo","Di","Mi","Do","Fr","Sa"),"")</f>
        <v>So</v>
      </c>
      <c r="W6" s="5" t="str">
        <f>IF(ISNUMBER(W$7),CHOOSE(WEEKDAY(W$7),"So","Mo","Di","Mi","Do","Fr","Sa"),"")</f>
        <v>Mo</v>
      </c>
      <c r="X6" s="5" t="str">
        <f>IF(ISNUMBER(X$7),CHOOSE(WEEKDAY(X$7),"So","Mo","Di","Mi","Do","Fr","Sa"),"")</f>
        <v>Di</v>
      </c>
      <c r="Y6" s="5" t="str">
        <f>IF(ISNUMBER(Y$7),CHOOSE(WEEKDAY(Y$7),"So","Mo","Di","Mi","Do","Fr","Sa"),"")</f>
        <v>Mi</v>
      </c>
      <c r="Z6" s="5" t="str">
        <f>IF(ISNUMBER(Z$7),CHOOSE(WEEKDAY(Z$7),"So","Mo","Di","Mi","Do","Fr","Sa"),"")</f>
        <v>Do</v>
      </c>
      <c r="AA6" s="5" t="str">
        <f>IF(ISNUMBER(AA$7),CHOOSE(WEEKDAY(AA$7),"So","Mo","Di","Mi","Do","Fr","Sa"),"")</f>
        <v>Fr</v>
      </c>
      <c r="AB6" s="5" t="str">
        <f>IF(ISNUMBER(AB$7),CHOOSE(WEEKDAY(AB$7),"So","Mo","Di","Mi","Do","Fr","Sa"),"")</f>
        <v>Sa</v>
      </c>
      <c r="AC6" s="5" t="str">
        <f>IF(ISNUMBER(AC$7),CHOOSE(WEEKDAY(AC$7),"So","Mo","Di","Mi","Do","Fr","Sa"),"")</f>
        <v>So</v>
      </c>
      <c r="AD6" s="5" t="str">
        <f>IF(ISNUMBER(AD$7),CHOOSE(WEEKDAY(AD$7),"So","Mo","Di","Mi","Do","Fr","Sa"),"")</f>
        <v>Mo</v>
      </c>
      <c r="AE6" s="5" t="str">
        <f>IF(ISNUMBER(AE$7),CHOOSE(WEEKDAY(AE$7),"So","Mo","Di","Mi","Do","Fr","Sa"),"")</f>
        <v>Di</v>
      </c>
      <c r="AF6" s="5" t="str">
        <f>IF(ISNUMBER(AF$7),CHOOSE(WEEKDAY(AF$7),"So","Mo","Di","Mi","Do","Fr","Sa"),"")</f>
        <v>Mi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IF(MONTH(DATE('Übersicht'!$B$3,6,1))=6,DATE('Übersicht'!$B$3,6,1),"")</f>
        <v>46539</v>
      </c>
      <c r="D7" s="13">
        <f>IF(MONTH(DATE('Übersicht'!$B$3,6,2))=6,DATE('Übersicht'!$B$3,6,2),"")</f>
        <v>46540</v>
      </c>
      <c r="E7" s="13">
        <f>IF(MONTH(DATE('Übersicht'!$B$3,6,3))=6,DATE('Übersicht'!$B$3,6,3),"")</f>
        <v>46541</v>
      </c>
      <c r="F7" s="13">
        <f>IF(MONTH(DATE('Übersicht'!$B$3,6,4))=6,DATE('Übersicht'!$B$3,6,4),"")</f>
        <v>46542</v>
      </c>
      <c r="G7" s="13">
        <f>IF(MONTH(DATE('Übersicht'!$B$3,6,5))=6,DATE('Übersicht'!$B$3,6,5),"")</f>
        <v>46543</v>
      </c>
      <c r="H7" s="13">
        <f>IF(MONTH(DATE('Übersicht'!$B$3,6,6))=6,DATE('Übersicht'!$B$3,6,6),"")</f>
        <v>46544</v>
      </c>
      <c r="I7" s="13">
        <f>IF(MONTH(DATE('Übersicht'!$B$3,6,7))=6,DATE('Übersicht'!$B$3,6,7),"")</f>
        <v>46545</v>
      </c>
      <c r="J7" s="13">
        <f>IF(MONTH(DATE('Übersicht'!$B$3,6,8))=6,DATE('Übersicht'!$B$3,6,8),"")</f>
        <v>46546</v>
      </c>
      <c r="K7" s="13">
        <f>IF(MONTH(DATE('Übersicht'!$B$3,6,9))=6,DATE('Übersicht'!$B$3,6,9),"")</f>
        <v>46547</v>
      </c>
      <c r="L7" s="13">
        <f>IF(MONTH(DATE('Übersicht'!$B$3,6,10))=6,DATE('Übersicht'!$B$3,6,10),"")</f>
        <v>46548</v>
      </c>
      <c r="M7" s="13">
        <f>IF(MONTH(DATE('Übersicht'!$B$3,6,11))=6,DATE('Übersicht'!$B$3,6,11),"")</f>
        <v>46549</v>
      </c>
      <c r="N7" s="13">
        <f>IF(MONTH(DATE('Übersicht'!$B$3,6,12))=6,DATE('Übersicht'!$B$3,6,12),"")</f>
        <v>46550</v>
      </c>
      <c r="O7" s="13">
        <f>IF(MONTH(DATE('Übersicht'!$B$3,6,13))=6,DATE('Übersicht'!$B$3,6,13),"")</f>
        <v>46551</v>
      </c>
      <c r="P7" s="13">
        <f>IF(MONTH(DATE('Übersicht'!$B$3,6,14))=6,DATE('Übersicht'!$B$3,6,14),"")</f>
        <v>46552</v>
      </c>
      <c r="Q7" s="13">
        <f>IF(MONTH(DATE('Übersicht'!$B$3,6,15))=6,DATE('Übersicht'!$B$3,6,15),"")</f>
        <v>46553</v>
      </c>
      <c r="R7" s="13">
        <f>IF(MONTH(DATE('Übersicht'!$B$3,6,16))=6,DATE('Übersicht'!$B$3,6,16),"")</f>
        <v>46554</v>
      </c>
      <c r="S7" s="13">
        <f>IF(MONTH(DATE('Übersicht'!$B$3,6,17))=6,DATE('Übersicht'!$B$3,6,17),"")</f>
        <v>46555</v>
      </c>
      <c r="T7" s="13">
        <f>IF(MONTH(DATE('Übersicht'!$B$3,6,18))=6,DATE('Übersicht'!$B$3,6,18),"")</f>
        <v>46556</v>
      </c>
      <c r="U7" s="13">
        <f>IF(MONTH(DATE('Übersicht'!$B$3,6,19))=6,DATE('Übersicht'!$B$3,6,19),"")</f>
        <v>46557</v>
      </c>
      <c r="V7" s="13">
        <f>IF(MONTH(DATE('Übersicht'!$B$3,6,20))=6,DATE('Übersicht'!$B$3,6,20),"")</f>
        <v>46558</v>
      </c>
      <c r="W7" s="13">
        <f>IF(MONTH(DATE('Übersicht'!$B$3,6,21))=6,DATE('Übersicht'!$B$3,6,21),"")</f>
        <v>46559</v>
      </c>
      <c r="X7" s="13">
        <f>IF(MONTH(DATE('Übersicht'!$B$3,6,22))=6,DATE('Übersicht'!$B$3,6,22),"")</f>
        <v>46560</v>
      </c>
      <c r="Y7" s="13">
        <f>IF(MONTH(DATE('Übersicht'!$B$3,6,23))=6,DATE('Übersicht'!$B$3,6,23),"")</f>
        <v>46561</v>
      </c>
      <c r="Z7" s="13">
        <f>IF(MONTH(DATE('Übersicht'!$B$3,6,24))=6,DATE('Übersicht'!$B$3,6,24),"")</f>
        <v>46562</v>
      </c>
      <c r="AA7" s="13">
        <f>IF(MONTH(DATE('Übersicht'!$B$3,6,25))=6,DATE('Übersicht'!$B$3,6,25),"")</f>
        <v>46563</v>
      </c>
      <c r="AB7" s="13">
        <f>IF(MONTH(DATE('Übersicht'!$B$3,6,26))=6,DATE('Übersicht'!$B$3,6,26),"")</f>
        <v>46564</v>
      </c>
      <c r="AC7" s="13">
        <f>IF(MONTH(DATE('Übersicht'!$B$3,6,27))=6,DATE('Übersicht'!$B$3,6,27),"")</f>
        <v>46565</v>
      </c>
      <c r="AD7" s="13">
        <f>IF(MONTH(DATE('Übersicht'!$B$3,6,28))=6,DATE('Übersicht'!$B$3,6,28),"")</f>
        <v>46566</v>
      </c>
      <c r="AE7" s="13">
        <f>IF(MONTH(DATE('Übersicht'!$B$3,6,29))=6,DATE('Übersicht'!$B$3,6,29),"")</f>
        <v>46567</v>
      </c>
      <c r="AF7" s="13">
        <f>IF(MONTH(DATE('Übersicht'!$B$3,6,30))=6,DATE('Übersicht'!$B$3,6,30),"")</f>
        <v>46568</v>
      </c>
      <c r="AG7" s="13" t="str">
        <f>IF(MONTH(DATE('Übersicht'!$B$3,6,31))=6,DATE('Übersicht'!$B$3,6,31),"")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 t="s">
        <v>33</v>
      </c>
      <c r="D11" s="16" t="s">
        <v>33</v>
      </c>
      <c r="E11" s="16" t="s">
        <v>33</v>
      </c>
      <c r="F11" s="16" t="s">
        <v>33</v>
      </c>
      <c r="G11" s="16"/>
      <c r="H11" s="16"/>
      <c r="I11" s="16" t="s">
        <v>33</v>
      </c>
      <c r="J11" s="16" t="s">
        <v>33</v>
      </c>
      <c r="K11" s="16" t="s">
        <v>33</v>
      </c>
      <c r="L11" s="16" t="s">
        <v>33</v>
      </c>
      <c r="M11" s="16" t="s">
        <v>33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9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1</v>
      </c>
      <c r="D20" s="18">
        <f>COUNTIF(D8:D19,"U")+COUNTIF(D8:D19,"H")+COUNTIF(D8:D19,"K")</f>
        <v>1</v>
      </c>
      <c r="E20" s="18">
        <f>COUNTIF(E8:E19,"U")+COUNTIF(E8:E19,"H")+COUNTIF(E8:E19,"K")</f>
        <v>1</v>
      </c>
      <c r="F20" s="18">
        <f>COUNTIF(F8:F19,"U")+COUNTIF(F8:F19,"H")+COUNTIF(F8:F19,"K")</f>
        <v>1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1</v>
      </c>
      <c r="J20" s="18">
        <f>COUNTIF(J8:J19,"U")+COUNTIF(J8:J19,"H")+COUNTIF(J8:J19,"K")</f>
        <v>1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1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36" priority="1">
      <formula>UPPER(C8)="U"</formula>
    </cfRule>
    <cfRule type="expression" dxfId="37" priority="2">
      <formula>UPPER(C8)="H"</formula>
    </cfRule>
    <cfRule type="expression" dxfId="38" priority="3">
      <formula>UPPER(C8)="K"</formula>
    </cfRule>
  </conditionalFormatting>
  <conditionalFormatting sqref="C4:AG4 C8:AG19">
    <cfRule type="expression" dxfId="39" priority="4">
      <formula>NOT(ISNUMBER(C$7))</formula>
    </cfRule>
    <cfRule type="expression" dxfId="40" priority="5">
      <formula>C$4&lt;&gt;""</formula>
    </cfRule>
    <cfRule type="expression" dxfId="41" priority="6">
      <formula>WEEKDAY(C$7,2)&gt;5</formula>
    </cfRule>
  </conditionalFormatting>
  <conditionalFormatting sqref="C20:AG20">
    <cfRule type="expression" dxfId="42" priority="7">
      <formula>C20&gt;$AH$20</formula>
    </cfRule>
  </conditionalFormatting>
  <pageSetup paperSize="9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>Sa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IF(MONTH(DATE('Übersicht'!$B$3,7,1))=7,DATE('Übersicht'!$B$3,7,1),"")</f>
        <v>46569</v>
      </c>
      <c r="D7" s="13">
        <f>IF(MONTH(DATE('Übersicht'!$B$3,7,2))=7,DATE('Übersicht'!$B$3,7,2),"")</f>
        <v>46570</v>
      </c>
      <c r="E7" s="13">
        <f>IF(MONTH(DATE('Übersicht'!$B$3,7,3))=7,DATE('Übersicht'!$B$3,7,3),"")</f>
        <v>46571</v>
      </c>
      <c r="F7" s="13">
        <f>IF(MONTH(DATE('Übersicht'!$B$3,7,4))=7,DATE('Übersicht'!$B$3,7,4),"")</f>
        <v>46572</v>
      </c>
      <c r="G7" s="13">
        <f>IF(MONTH(DATE('Übersicht'!$B$3,7,5))=7,DATE('Übersicht'!$B$3,7,5),"")</f>
        <v>46573</v>
      </c>
      <c r="H7" s="13">
        <f>IF(MONTH(DATE('Übersicht'!$B$3,7,6))=7,DATE('Übersicht'!$B$3,7,6),"")</f>
        <v>46574</v>
      </c>
      <c r="I7" s="13">
        <f>IF(MONTH(DATE('Übersicht'!$B$3,7,7))=7,DATE('Übersicht'!$B$3,7,7),"")</f>
        <v>46575</v>
      </c>
      <c r="J7" s="13">
        <f>IF(MONTH(DATE('Übersicht'!$B$3,7,8))=7,DATE('Übersicht'!$B$3,7,8),"")</f>
        <v>46576</v>
      </c>
      <c r="K7" s="13">
        <f>IF(MONTH(DATE('Übersicht'!$B$3,7,9))=7,DATE('Übersicht'!$B$3,7,9),"")</f>
        <v>46577</v>
      </c>
      <c r="L7" s="13">
        <f>IF(MONTH(DATE('Übersicht'!$B$3,7,10))=7,DATE('Übersicht'!$B$3,7,10),"")</f>
        <v>46578</v>
      </c>
      <c r="M7" s="13">
        <f>IF(MONTH(DATE('Übersicht'!$B$3,7,11))=7,DATE('Übersicht'!$B$3,7,11),"")</f>
        <v>46579</v>
      </c>
      <c r="N7" s="13">
        <f>IF(MONTH(DATE('Übersicht'!$B$3,7,12))=7,DATE('Übersicht'!$B$3,7,12),"")</f>
        <v>46580</v>
      </c>
      <c r="O7" s="13">
        <f>IF(MONTH(DATE('Übersicht'!$B$3,7,13))=7,DATE('Übersicht'!$B$3,7,13),"")</f>
        <v>46581</v>
      </c>
      <c r="P7" s="13">
        <f>IF(MONTH(DATE('Übersicht'!$B$3,7,14))=7,DATE('Übersicht'!$B$3,7,14),"")</f>
        <v>46582</v>
      </c>
      <c r="Q7" s="13">
        <f>IF(MONTH(DATE('Übersicht'!$B$3,7,15))=7,DATE('Übersicht'!$B$3,7,15),"")</f>
        <v>46583</v>
      </c>
      <c r="R7" s="13">
        <f>IF(MONTH(DATE('Übersicht'!$B$3,7,16))=7,DATE('Übersicht'!$B$3,7,16),"")</f>
        <v>46584</v>
      </c>
      <c r="S7" s="13">
        <f>IF(MONTH(DATE('Übersicht'!$B$3,7,17))=7,DATE('Übersicht'!$B$3,7,17),"")</f>
        <v>46585</v>
      </c>
      <c r="T7" s="13">
        <f>IF(MONTH(DATE('Übersicht'!$B$3,7,18))=7,DATE('Übersicht'!$B$3,7,18),"")</f>
        <v>46586</v>
      </c>
      <c r="U7" s="13">
        <f>IF(MONTH(DATE('Übersicht'!$B$3,7,19))=7,DATE('Übersicht'!$B$3,7,19),"")</f>
        <v>46587</v>
      </c>
      <c r="V7" s="13">
        <f>IF(MONTH(DATE('Übersicht'!$B$3,7,20))=7,DATE('Übersicht'!$B$3,7,20),"")</f>
        <v>46588</v>
      </c>
      <c r="W7" s="13">
        <f>IF(MONTH(DATE('Übersicht'!$B$3,7,21))=7,DATE('Übersicht'!$B$3,7,21),"")</f>
        <v>46589</v>
      </c>
      <c r="X7" s="13">
        <f>IF(MONTH(DATE('Übersicht'!$B$3,7,22))=7,DATE('Übersicht'!$B$3,7,22),"")</f>
        <v>46590</v>
      </c>
      <c r="Y7" s="13">
        <f>IF(MONTH(DATE('Übersicht'!$B$3,7,23))=7,DATE('Übersicht'!$B$3,7,23),"")</f>
        <v>46591</v>
      </c>
      <c r="Z7" s="13">
        <f>IF(MONTH(DATE('Übersicht'!$B$3,7,24))=7,DATE('Übersicht'!$B$3,7,24),"")</f>
        <v>46592</v>
      </c>
      <c r="AA7" s="13">
        <f>IF(MONTH(DATE('Übersicht'!$B$3,7,25))=7,DATE('Übersicht'!$B$3,7,25),"")</f>
        <v>46593</v>
      </c>
      <c r="AB7" s="13">
        <f>IF(MONTH(DATE('Übersicht'!$B$3,7,26))=7,DATE('Übersicht'!$B$3,7,26),"")</f>
        <v>46594</v>
      </c>
      <c r="AC7" s="13">
        <f>IF(MONTH(DATE('Übersicht'!$B$3,7,27))=7,DATE('Übersicht'!$B$3,7,27),"")</f>
        <v>46595</v>
      </c>
      <c r="AD7" s="13">
        <f>IF(MONTH(DATE('Übersicht'!$B$3,7,28))=7,DATE('Übersicht'!$B$3,7,28),"")</f>
        <v>46596</v>
      </c>
      <c r="AE7" s="13">
        <f>IF(MONTH(DATE('Übersicht'!$B$3,7,29))=7,DATE('Übersicht'!$B$3,7,29),"")</f>
        <v>46597</v>
      </c>
      <c r="AF7" s="13">
        <f>IF(MONTH(DATE('Übersicht'!$B$3,7,30))=7,DATE('Übersicht'!$B$3,7,30),"")</f>
        <v>46598</v>
      </c>
      <c r="AG7" s="13">
        <f>IF(MONTH(DATE('Übersicht'!$B$3,7,31))=7,DATE('Übersicht'!$B$3,7,31),"")</f>
        <v>46599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 t="s">
        <v>33</v>
      </c>
      <c r="P10" s="16" t="s">
        <v>33</v>
      </c>
      <c r="Q10" s="16" t="s">
        <v>33</v>
      </c>
      <c r="R10" s="16" t="s">
        <v>33</v>
      </c>
      <c r="S10" s="16"/>
      <c r="T10" s="16"/>
      <c r="U10" s="16" t="s">
        <v>33</v>
      </c>
      <c r="V10" s="16" t="s">
        <v>33</v>
      </c>
      <c r="W10" s="16" t="s">
        <v>33</v>
      </c>
      <c r="X10" s="16" t="s">
        <v>33</v>
      </c>
      <c r="Y10" s="16" t="s">
        <v>33</v>
      </c>
      <c r="Z10" s="16"/>
      <c r="AA10" s="16"/>
      <c r="AB10" s="16" t="s">
        <v>33</v>
      </c>
      <c r="AC10" s="16" t="s">
        <v>33</v>
      </c>
      <c r="AD10" s="16" t="s">
        <v>33</v>
      </c>
      <c r="AE10" s="16" t="s">
        <v>33</v>
      </c>
      <c r="AF10" s="16" t="s">
        <v>33</v>
      </c>
      <c r="AG10" s="16"/>
      <c r="AH10" s="8">
        <f>COUNTIF(C10:AG10,"U")+COUNTIF(C10:AG10,"H")/2</f>
        <v>14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 t="s">
        <v>33</v>
      </c>
      <c r="AD13" s="16" t="s">
        <v>33</v>
      </c>
      <c r="AE13" s="16" t="s">
        <v>33</v>
      </c>
      <c r="AF13" s="16" t="s">
        <v>33</v>
      </c>
      <c r="AG13" s="16"/>
      <c r="AH13" s="8">
        <f>COUNTIF(C13:AG13,"U")+COUNTIF(C13:AG13,"H")/2</f>
        <v>4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1</v>
      </c>
      <c r="P20" s="18">
        <f>COUNTIF(P8:P19,"U")+COUNTIF(P8:P19,"H")+COUNTIF(P8:P19,"K")</f>
        <v>1</v>
      </c>
      <c r="Q20" s="18">
        <f>COUNTIF(Q8:Q19,"U")+COUNTIF(Q8:Q19,"H")+COUNTIF(Q8:Q19,"K")</f>
        <v>1</v>
      </c>
      <c r="R20" s="18">
        <f>COUNTIF(R8:R19,"U")+COUNTIF(R8:R19,"H")+COUNTIF(R8:R19,"K")</f>
        <v>1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1</v>
      </c>
      <c r="V20" s="18">
        <f>COUNTIF(V8:V19,"U")+COUNTIF(V8:V19,"H")+COUNTIF(V8:V19,"K")</f>
        <v>1</v>
      </c>
      <c r="W20" s="18">
        <f>COUNTIF(W8:W19,"U")+COUNTIF(W8:W19,"H")+COUNTIF(W8:W19,"K")</f>
        <v>1</v>
      </c>
      <c r="X20" s="18">
        <f>COUNTIF(X8:X19,"U")+COUNTIF(X8:X19,"H")+COUNTIF(X8:X19,"K")</f>
        <v>1</v>
      </c>
      <c r="Y20" s="18">
        <f>COUNTIF(Y8:Y19,"U")+COUNTIF(Y8:Y19,"H")+COUNTIF(Y8:Y19,"K")</f>
        <v>1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1</v>
      </c>
      <c r="AC20" s="18">
        <f>COUNTIF(AC8:AC19,"U")+COUNTIF(AC8:AC19,"H")+COUNTIF(AC8:AC19,"K")</f>
        <v>2</v>
      </c>
      <c r="AD20" s="18">
        <f>COUNTIF(AD8:AD19,"U")+COUNTIF(AD8:AD19,"H")+COUNTIF(AD8:AD19,"K")</f>
        <v>2</v>
      </c>
      <c r="AE20" s="18">
        <f>COUNTIF(AE8:AE19,"U")+COUNTIF(AE8:AE19,"H")+COUNTIF(AE8:AE19,"K")</f>
        <v>2</v>
      </c>
      <c r="AF20" s="18">
        <f>COUNTIF(AF8:AF19,"U")+COUNTIF(AF8:AF19,"H")+COUNTIF(AF8:AF19,"K")</f>
        <v>2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43" priority="1">
      <formula>UPPER(C8)="U"</formula>
    </cfRule>
    <cfRule type="expression" dxfId="44" priority="2">
      <formula>UPPER(C8)="H"</formula>
    </cfRule>
    <cfRule type="expression" dxfId="45" priority="3">
      <formula>UPPER(C8)="K"</formula>
    </cfRule>
  </conditionalFormatting>
  <conditionalFormatting sqref="C4:AG4 C8:AG19">
    <cfRule type="expression" dxfId="46" priority="4">
      <formula>NOT(ISNUMBER(C$7))</formula>
    </cfRule>
    <cfRule type="expression" dxfId="47" priority="5">
      <formula>C$4&lt;&gt;""</formula>
    </cfRule>
    <cfRule type="expression" dxfId="48" priority="6">
      <formula>WEEKDAY(C$7,2)&gt;5</formula>
    </cfRule>
  </conditionalFormatting>
  <conditionalFormatting sqref="C20:AG20">
    <cfRule type="expression" dxfId="49" priority="7">
      <formula>C20&gt;$AH$20</formula>
    </cfRule>
  </conditionalFormatting>
  <pageSetup paperSize="9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>So</v>
      </c>
      <c r="AF6" s="5" t="str">
        <f>IF(ISNUMBER(AF$7),CHOOSE(WEEKDAY(AF$7),"So","Mo","Di","Mi","Do","Fr","Sa"),"")</f>
        <v>Mo</v>
      </c>
      <c r="AG6" s="5" t="str">
        <f>IF(ISNUMBER(AG$7),CHOOSE(WEEKDAY(AG$7),"So","Mo","Di","Mi","Do","Fr","Sa"),"")</f>
        <v>Di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IF(MONTH(DATE('Übersicht'!$B$3,8,1))=8,DATE('Übersicht'!$B$3,8,1),"")</f>
        <v>46600</v>
      </c>
      <c r="D7" s="13">
        <f>IF(MONTH(DATE('Übersicht'!$B$3,8,2))=8,DATE('Übersicht'!$B$3,8,2),"")</f>
        <v>46601</v>
      </c>
      <c r="E7" s="13">
        <f>IF(MONTH(DATE('Übersicht'!$B$3,8,3))=8,DATE('Übersicht'!$B$3,8,3),"")</f>
        <v>46602</v>
      </c>
      <c r="F7" s="13">
        <f>IF(MONTH(DATE('Übersicht'!$B$3,8,4))=8,DATE('Übersicht'!$B$3,8,4),"")</f>
        <v>46603</v>
      </c>
      <c r="G7" s="13">
        <f>IF(MONTH(DATE('Übersicht'!$B$3,8,5))=8,DATE('Übersicht'!$B$3,8,5),"")</f>
        <v>46604</v>
      </c>
      <c r="H7" s="13">
        <f>IF(MONTH(DATE('Übersicht'!$B$3,8,6))=8,DATE('Übersicht'!$B$3,8,6),"")</f>
        <v>46605</v>
      </c>
      <c r="I7" s="13">
        <f>IF(MONTH(DATE('Übersicht'!$B$3,8,7))=8,DATE('Übersicht'!$B$3,8,7),"")</f>
        <v>46606</v>
      </c>
      <c r="J7" s="13">
        <f>IF(MONTH(DATE('Übersicht'!$B$3,8,8))=8,DATE('Übersicht'!$B$3,8,8),"")</f>
        <v>46607</v>
      </c>
      <c r="K7" s="13">
        <f>IF(MONTH(DATE('Übersicht'!$B$3,8,9))=8,DATE('Übersicht'!$B$3,8,9),"")</f>
        <v>46608</v>
      </c>
      <c r="L7" s="13">
        <f>IF(MONTH(DATE('Übersicht'!$B$3,8,10))=8,DATE('Übersicht'!$B$3,8,10),"")</f>
        <v>46609</v>
      </c>
      <c r="M7" s="13">
        <f>IF(MONTH(DATE('Übersicht'!$B$3,8,11))=8,DATE('Übersicht'!$B$3,8,11),"")</f>
        <v>46610</v>
      </c>
      <c r="N7" s="13">
        <f>IF(MONTH(DATE('Übersicht'!$B$3,8,12))=8,DATE('Übersicht'!$B$3,8,12),"")</f>
        <v>46611</v>
      </c>
      <c r="O7" s="13">
        <f>IF(MONTH(DATE('Übersicht'!$B$3,8,13))=8,DATE('Übersicht'!$B$3,8,13),"")</f>
        <v>46612</v>
      </c>
      <c r="P7" s="13">
        <f>IF(MONTH(DATE('Übersicht'!$B$3,8,14))=8,DATE('Übersicht'!$B$3,8,14),"")</f>
        <v>46613</v>
      </c>
      <c r="Q7" s="13">
        <f>IF(MONTH(DATE('Übersicht'!$B$3,8,15))=8,DATE('Übersicht'!$B$3,8,15),"")</f>
        <v>46614</v>
      </c>
      <c r="R7" s="13">
        <f>IF(MONTH(DATE('Übersicht'!$B$3,8,16))=8,DATE('Übersicht'!$B$3,8,16),"")</f>
        <v>46615</v>
      </c>
      <c r="S7" s="13">
        <f>IF(MONTH(DATE('Übersicht'!$B$3,8,17))=8,DATE('Übersicht'!$B$3,8,17),"")</f>
        <v>46616</v>
      </c>
      <c r="T7" s="13">
        <f>IF(MONTH(DATE('Übersicht'!$B$3,8,18))=8,DATE('Übersicht'!$B$3,8,18),"")</f>
        <v>46617</v>
      </c>
      <c r="U7" s="13">
        <f>IF(MONTH(DATE('Übersicht'!$B$3,8,19))=8,DATE('Übersicht'!$B$3,8,19),"")</f>
        <v>46618</v>
      </c>
      <c r="V7" s="13">
        <f>IF(MONTH(DATE('Übersicht'!$B$3,8,20))=8,DATE('Übersicht'!$B$3,8,20),"")</f>
        <v>46619</v>
      </c>
      <c r="W7" s="13">
        <f>IF(MONTH(DATE('Übersicht'!$B$3,8,21))=8,DATE('Übersicht'!$B$3,8,21),"")</f>
        <v>46620</v>
      </c>
      <c r="X7" s="13">
        <f>IF(MONTH(DATE('Übersicht'!$B$3,8,22))=8,DATE('Übersicht'!$B$3,8,22),"")</f>
        <v>46621</v>
      </c>
      <c r="Y7" s="13">
        <f>IF(MONTH(DATE('Übersicht'!$B$3,8,23))=8,DATE('Übersicht'!$B$3,8,23),"")</f>
        <v>46622</v>
      </c>
      <c r="Z7" s="13">
        <f>IF(MONTH(DATE('Übersicht'!$B$3,8,24))=8,DATE('Übersicht'!$B$3,8,24),"")</f>
        <v>46623</v>
      </c>
      <c r="AA7" s="13">
        <f>IF(MONTH(DATE('Übersicht'!$B$3,8,25))=8,DATE('Übersicht'!$B$3,8,25),"")</f>
        <v>46624</v>
      </c>
      <c r="AB7" s="13">
        <f>IF(MONTH(DATE('Übersicht'!$B$3,8,26))=8,DATE('Übersicht'!$B$3,8,26),"")</f>
        <v>46625</v>
      </c>
      <c r="AC7" s="13">
        <f>IF(MONTH(DATE('Übersicht'!$B$3,8,27))=8,DATE('Übersicht'!$B$3,8,27),"")</f>
        <v>46626</v>
      </c>
      <c r="AD7" s="13">
        <f>IF(MONTH(DATE('Übersicht'!$B$3,8,28))=8,DATE('Übersicht'!$B$3,8,28),"")</f>
        <v>46627</v>
      </c>
      <c r="AE7" s="13">
        <f>IF(MONTH(DATE('Übersicht'!$B$3,8,29))=8,DATE('Übersicht'!$B$3,8,29),"")</f>
        <v>46628</v>
      </c>
      <c r="AF7" s="13">
        <f>IF(MONTH(DATE('Übersicht'!$B$3,8,30))=8,DATE('Übersicht'!$B$3,8,30),"")</f>
        <v>46629</v>
      </c>
      <c r="AG7" s="13">
        <f>IF(MONTH(DATE('Übersicht'!$B$3,8,31))=8,DATE('Übersicht'!$B$3,8,31),"")</f>
        <v>46630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 t="s">
        <v>33</v>
      </c>
      <c r="F8" s="16" t="s">
        <v>33</v>
      </c>
      <c r="G8" s="16" t="s">
        <v>33</v>
      </c>
      <c r="H8" s="16" t="s">
        <v>33</v>
      </c>
      <c r="I8" s="16"/>
      <c r="J8" s="16"/>
      <c r="K8" s="16" t="s">
        <v>33</v>
      </c>
      <c r="L8" s="16" t="s">
        <v>33</v>
      </c>
      <c r="M8" s="16" t="s">
        <v>33</v>
      </c>
      <c r="N8" s="16" t="s">
        <v>33</v>
      </c>
      <c r="O8" s="16" t="s">
        <v>33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9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 t="s">
        <v>33</v>
      </c>
      <c r="M9" s="16" t="s">
        <v>33</v>
      </c>
      <c r="N9" s="16" t="s">
        <v>33</v>
      </c>
      <c r="O9" s="16" t="s">
        <v>33</v>
      </c>
      <c r="P9" s="16"/>
      <c r="Q9" s="16"/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9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 t="s">
        <v>33</v>
      </c>
      <c r="M11" s="16" t="s">
        <v>33</v>
      </c>
      <c r="N11" s="16" t="s">
        <v>33</v>
      </c>
      <c r="O11" s="16" t="s">
        <v>33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4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1</v>
      </c>
      <c r="F20" s="18">
        <f>COUNTIF(F8:F19,"U")+COUNTIF(F8:F19,"H")+COUNTIF(F8:F19,"K")</f>
        <v>1</v>
      </c>
      <c r="G20" s="18">
        <f>COUNTIF(G8:G19,"U")+COUNTIF(G8:G19,"H")+COUNTIF(G8:G19,"K")</f>
        <v>1</v>
      </c>
      <c r="H20" s="18">
        <f>COUNTIF(H8:H19,"U")+COUNTIF(H8:H19,"H")+COUNTIF(H8:H19,"K")</f>
        <v>1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1</v>
      </c>
      <c r="L20" s="18">
        <f>COUNTIF(L8:L19,"U")+COUNTIF(L8:L19,"H")+COUNTIF(L8:L19,"K")</f>
        <v>3</v>
      </c>
      <c r="M20" s="18">
        <f>COUNTIF(M8:M19,"U")+COUNTIF(M8:M19,"H")+COUNTIF(M8:M19,"K")</f>
        <v>3</v>
      </c>
      <c r="N20" s="18">
        <f>COUNTIF(N8:N19,"U")+COUNTIF(N8:N19,"H")+COUNTIF(N8:N19,"K")</f>
        <v>3</v>
      </c>
      <c r="O20" s="18">
        <f>COUNTIF(O8:O19,"U")+COUNTIF(O8:O19,"H")+COUNTIF(O8:O19,"K")</f>
        <v>3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1</v>
      </c>
      <c r="S20" s="18">
        <f>COUNTIF(S8:S19,"U")+COUNTIF(S8:S19,"H")+COUNTIF(S8:S19,"K")</f>
        <v>1</v>
      </c>
      <c r="T20" s="18">
        <f>COUNTIF(T8:T19,"U")+COUNTIF(T8:T19,"H")+COUNTIF(T8:T19,"K")</f>
        <v>1</v>
      </c>
      <c r="U20" s="18">
        <f>COUNTIF(U8:U19,"U")+COUNTIF(U8:U19,"H")+COUNTIF(U8:U19,"K")</f>
        <v>1</v>
      </c>
      <c r="V20" s="18">
        <f>COUNTIF(V8:V19,"U")+COUNTIF(V8:V19,"H")+COUNTIF(V8:V19,"K")</f>
        <v>1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0" priority="1">
      <formula>UPPER(C8)="U"</formula>
    </cfRule>
    <cfRule type="expression" dxfId="51" priority="2">
      <formula>UPPER(C8)="H"</formula>
    </cfRule>
    <cfRule type="expression" dxfId="52" priority="3">
      <formula>UPPER(C8)="K"</formula>
    </cfRule>
  </conditionalFormatting>
  <conditionalFormatting sqref="C4:AG4 C8:AG19">
    <cfRule type="expression" dxfId="53" priority="4">
      <formula>NOT(ISNUMBER(C$7))</formula>
    </cfRule>
    <cfRule type="expression" dxfId="54" priority="5">
      <formula>C$4&lt;&gt;""</formula>
    </cfRule>
    <cfRule type="expression" dxfId="55" priority="6">
      <formula>WEEKDAY(C$7,2)&gt;5</formula>
    </cfRule>
  </conditionalFormatting>
  <conditionalFormatting sqref="C20:AG20">
    <cfRule type="expression" dxfId="56" priority="7">
      <formula>C20&gt;$AH$20</formula>
    </cfRule>
  </conditionalFormatting>
  <pageSetup paperSize="9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IF(MONTH(DATE('Übersicht'!$B$3,9,1))=9,DATE('Übersicht'!$B$3,9,1),"")</f>
        <v>46631</v>
      </c>
      <c r="D7" s="13">
        <f>IF(MONTH(DATE('Übersicht'!$B$3,9,2))=9,DATE('Übersicht'!$B$3,9,2),"")</f>
        <v>46632</v>
      </c>
      <c r="E7" s="13">
        <f>IF(MONTH(DATE('Übersicht'!$B$3,9,3))=9,DATE('Übersicht'!$B$3,9,3),"")</f>
        <v>46633</v>
      </c>
      <c r="F7" s="13">
        <f>IF(MONTH(DATE('Übersicht'!$B$3,9,4))=9,DATE('Übersicht'!$B$3,9,4),"")</f>
        <v>46634</v>
      </c>
      <c r="G7" s="13">
        <f>IF(MONTH(DATE('Übersicht'!$B$3,9,5))=9,DATE('Übersicht'!$B$3,9,5),"")</f>
        <v>46635</v>
      </c>
      <c r="H7" s="13">
        <f>IF(MONTH(DATE('Übersicht'!$B$3,9,6))=9,DATE('Übersicht'!$B$3,9,6),"")</f>
        <v>46636</v>
      </c>
      <c r="I7" s="13">
        <f>IF(MONTH(DATE('Übersicht'!$B$3,9,7))=9,DATE('Übersicht'!$B$3,9,7),"")</f>
        <v>46637</v>
      </c>
      <c r="J7" s="13">
        <f>IF(MONTH(DATE('Übersicht'!$B$3,9,8))=9,DATE('Übersicht'!$B$3,9,8),"")</f>
        <v>46638</v>
      </c>
      <c r="K7" s="13">
        <f>IF(MONTH(DATE('Übersicht'!$B$3,9,9))=9,DATE('Übersicht'!$B$3,9,9),"")</f>
        <v>46639</v>
      </c>
      <c r="L7" s="13">
        <f>IF(MONTH(DATE('Übersicht'!$B$3,9,10))=9,DATE('Übersicht'!$B$3,9,10),"")</f>
        <v>46640</v>
      </c>
      <c r="M7" s="13">
        <f>IF(MONTH(DATE('Übersicht'!$B$3,9,11))=9,DATE('Übersicht'!$B$3,9,11),"")</f>
        <v>46641</v>
      </c>
      <c r="N7" s="13">
        <f>IF(MONTH(DATE('Übersicht'!$B$3,9,12))=9,DATE('Übersicht'!$B$3,9,12),"")</f>
        <v>46642</v>
      </c>
      <c r="O7" s="13">
        <f>IF(MONTH(DATE('Übersicht'!$B$3,9,13))=9,DATE('Übersicht'!$B$3,9,13),"")</f>
        <v>46643</v>
      </c>
      <c r="P7" s="13">
        <f>IF(MONTH(DATE('Übersicht'!$B$3,9,14))=9,DATE('Übersicht'!$B$3,9,14),"")</f>
        <v>46644</v>
      </c>
      <c r="Q7" s="13">
        <f>IF(MONTH(DATE('Übersicht'!$B$3,9,15))=9,DATE('Übersicht'!$B$3,9,15),"")</f>
        <v>46645</v>
      </c>
      <c r="R7" s="13">
        <f>IF(MONTH(DATE('Übersicht'!$B$3,9,16))=9,DATE('Übersicht'!$B$3,9,16),"")</f>
        <v>46646</v>
      </c>
      <c r="S7" s="13">
        <f>IF(MONTH(DATE('Übersicht'!$B$3,9,17))=9,DATE('Übersicht'!$B$3,9,17),"")</f>
        <v>46647</v>
      </c>
      <c r="T7" s="13">
        <f>IF(MONTH(DATE('Übersicht'!$B$3,9,18))=9,DATE('Übersicht'!$B$3,9,18),"")</f>
        <v>46648</v>
      </c>
      <c r="U7" s="13">
        <f>IF(MONTH(DATE('Übersicht'!$B$3,9,19))=9,DATE('Übersicht'!$B$3,9,19),"")</f>
        <v>46649</v>
      </c>
      <c r="V7" s="13">
        <f>IF(MONTH(DATE('Übersicht'!$B$3,9,20))=9,DATE('Übersicht'!$B$3,9,20),"")</f>
        <v>46650</v>
      </c>
      <c r="W7" s="13">
        <f>IF(MONTH(DATE('Übersicht'!$B$3,9,21))=9,DATE('Übersicht'!$B$3,9,21),"")</f>
        <v>46651</v>
      </c>
      <c r="X7" s="13">
        <f>IF(MONTH(DATE('Übersicht'!$B$3,9,22))=9,DATE('Übersicht'!$B$3,9,22),"")</f>
        <v>46652</v>
      </c>
      <c r="Y7" s="13">
        <f>IF(MONTH(DATE('Übersicht'!$B$3,9,23))=9,DATE('Übersicht'!$B$3,9,23),"")</f>
        <v>46653</v>
      </c>
      <c r="Z7" s="13">
        <f>IF(MONTH(DATE('Übersicht'!$B$3,9,24))=9,DATE('Übersicht'!$B$3,9,24),"")</f>
        <v>46654</v>
      </c>
      <c r="AA7" s="13">
        <f>IF(MONTH(DATE('Übersicht'!$B$3,9,25))=9,DATE('Übersicht'!$B$3,9,25),"")</f>
        <v>46655</v>
      </c>
      <c r="AB7" s="13">
        <f>IF(MONTH(DATE('Übersicht'!$B$3,9,26))=9,DATE('Übersicht'!$B$3,9,26),"")</f>
        <v>46656</v>
      </c>
      <c r="AC7" s="13">
        <f>IF(MONTH(DATE('Übersicht'!$B$3,9,27))=9,DATE('Übersicht'!$B$3,9,27),"")</f>
        <v>46657</v>
      </c>
      <c r="AD7" s="13">
        <f>IF(MONTH(DATE('Übersicht'!$B$3,9,28))=9,DATE('Übersicht'!$B$3,9,28),"")</f>
        <v>46658</v>
      </c>
      <c r="AE7" s="13">
        <f>IF(MONTH(DATE('Übersicht'!$B$3,9,29))=9,DATE('Übersicht'!$B$3,9,29),"")</f>
        <v>46659</v>
      </c>
      <c r="AF7" s="13">
        <f>IF(MONTH(DATE('Übersicht'!$B$3,9,30))=9,DATE('Übersicht'!$B$3,9,30),"")</f>
        <v>46660</v>
      </c>
      <c r="AG7" s="13" t="str">
        <f>IF(MONTH(DATE('Übersicht'!$B$3,9,31))=9,DATE('Übersicht'!$B$3,9,31),"")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 t="s">
        <v>33</v>
      </c>
      <c r="J12" s="16" t="s">
        <v>33</v>
      </c>
      <c r="K12" s="16" t="s">
        <v>33</v>
      </c>
      <c r="L12" s="16" t="s">
        <v>33</v>
      </c>
      <c r="M12" s="16"/>
      <c r="N12" s="16"/>
      <c r="O12" s="16" t="s">
        <v>33</v>
      </c>
      <c r="P12" s="16" t="s">
        <v>33</v>
      </c>
      <c r="Q12" s="16" t="s">
        <v>33</v>
      </c>
      <c r="R12" s="16" t="s">
        <v>33</v>
      </c>
      <c r="S12" s="16" t="s">
        <v>33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9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1</v>
      </c>
      <c r="J20" s="18">
        <f>COUNTIF(J8:J19,"U")+COUNTIF(J8:J19,"H")+COUNTIF(J8:J19,"K")</f>
        <v>1</v>
      </c>
      <c r="K20" s="18">
        <f>COUNTIF(K8:K19,"U")+COUNTIF(K8:K19,"H")+COUNTIF(K8:K19,"K")</f>
        <v>1</v>
      </c>
      <c r="L20" s="18">
        <f>COUNTIF(L8:L19,"U")+COUNTIF(L8:L19,"H")+COUNTIF(L8:L19,"K")</f>
        <v>1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1</v>
      </c>
      <c r="P20" s="18">
        <f>COUNTIF(P8:P19,"U")+COUNTIF(P8:P19,"H")+COUNTIF(P8:P19,"K")</f>
        <v>1</v>
      </c>
      <c r="Q20" s="18">
        <f>COUNTIF(Q8:Q19,"U")+COUNTIF(Q8:Q19,"H")+COUNTIF(Q8:Q19,"K")</f>
        <v>1</v>
      </c>
      <c r="R20" s="18">
        <f>COUNTIF(R8:R19,"U")+COUNTIF(R8:R19,"H")+COUNTIF(R8:R19,"K")</f>
        <v>1</v>
      </c>
      <c r="S20" s="18">
        <f>COUNTIF(S8:S19,"U")+COUNTIF(S8:S19,"H")+COUNTIF(S8:S19,"K")</f>
        <v>1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7" priority="1">
      <formula>UPPER(C8)="U"</formula>
    </cfRule>
    <cfRule type="expression" dxfId="58" priority="2">
      <formula>UPPER(C8)="H"</formula>
    </cfRule>
    <cfRule type="expression" dxfId="59" priority="3">
      <formula>UPPER(C8)="K"</formula>
    </cfRule>
  </conditionalFormatting>
  <conditionalFormatting sqref="C4:AG4 C8:AG19">
    <cfRule type="expression" dxfId="60" priority="4">
      <formula>NOT(ISNUMBER(C$7))</formula>
    </cfRule>
    <cfRule type="expression" dxfId="61" priority="5">
      <formula>C$4&lt;&gt;""</formula>
    </cfRule>
    <cfRule type="expression" dxfId="62" priority="6">
      <formula>WEEKDAY(C$7,2)&gt;5</formula>
    </cfRule>
  </conditionalFormatting>
  <conditionalFormatting sqref="C20:AG20">
    <cfRule type="expression" dxfId="63" priority="7">
      <formula>C20&gt;$AH$20</formula>
    </cfRule>
  </conditionalFormatting>
  <pageSetup paperSize="9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Fr</v>
      </c>
      <c r="D6" s="5" t="str">
        <f>IF(ISNUMBER(D$7),CHOOSE(WEEKDAY(D$7),"So","Mo","Di","Mi","Do","Fr","Sa"),"")</f>
        <v>Sa</v>
      </c>
      <c r="E6" s="5" t="str">
        <f>IF(ISNUMBER(E$7),CHOOSE(WEEKDAY(E$7),"So","Mo","Di","Mi","Do","Fr","Sa"),"")</f>
        <v>So</v>
      </c>
      <c r="F6" s="5" t="str">
        <f>IF(ISNUMBER(F$7),CHOOSE(WEEKDAY(F$7),"So","Mo","Di","Mi","Do","Fr","Sa"),"")</f>
        <v>Mo</v>
      </c>
      <c r="G6" s="5" t="str">
        <f>IF(ISNUMBER(G$7),CHOOSE(WEEKDAY(G$7),"So","Mo","Di","Mi","Do","Fr","Sa"),"")</f>
        <v>Di</v>
      </c>
      <c r="H6" s="5" t="str">
        <f>IF(ISNUMBER(H$7),CHOOSE(WEEKDAY(H$7),"So","Mo","Di","Mi","Do","Fr","Sa"),"")</f>
        <v>Mi</v>
      </c>
      <c r="I6" s="5" t="str">
        <f>IF(ISNUMBER(I$7),CHOOSE(WEEKDAY(I$7),"So","Mo","Di","Mi","Do","Fr","Sa"),"")</f>
        <v>Do</v>
      </c>
      <c r="J6" s="5" t="str">
        <f>IF(ISNUMBER(J$7),CHOOSE(WEEKDAY(J$7),"So","Mo","Di","Mi","Do","Fr","Sa"),"")</f>
        <v>Fr</v>
      </c>
      <c r="K6" s="5" t="str">
        <f>IF(ISNUMBER(K$7),CHOOSE(WEEKDAY(K$7),"So","Mo","Di","Mi","Do","Fr","Sa"),"")</f>
        <v>Sa</v>
      </c>
      <c r="L6" s="5" t="str">
        <f>IF(ISNUMBER(L$7),CHOOSE(WEEKDAY(L$7),"So","Mo","Di","Mi","Do","Fr","Sa"),"")</f>
        <v>So</v>
      </c>
      <c r="M6" s="5" t="str">
        <f>IF(ISNUMBER(M$7),CHOOSE(WEEKDAY(M$7),"So","Mo","Di","Mi","Do","Fr","Sa"),"")</f>
        <v>Mo</v>
      </c>
      <c r="N6" s="5" t="str">
        <f>IF(ISNUMBER(N$7),CHOOSE(WEEKDAY(N$7),"So","Mo","Di","Mi","Do","Fr","Sa"),"")</f>
        <v>Di</v>
      </c>
      <c r="O6" s="5" t="str">
        <f>IF(ISNUMBER(O$7),CHOOSE(WEEKDAY(O$7),"So","Mo","Di","Mi","Do","Fr","Sa"),"")</f>
        <v>Mi</v>
      </c>
      <c r="P6" s="5" t="str">
        <f>IF(ISNUMBER(P$7),CHOOSE(WEEKDAY(P$7),"So","Mo","Di","Mi","Do","Fr","Sa"),"")</f>
        <v>Do</v>
      </c>
      <c r="Q6" s="5" t="str">
        <f>IF(ISNUMBER(Q$7),CHOOSE(WEEKDAY(Q$7),"So","Mo","Di","Mi","Do","Fr","Sa"),"")</f>
        <v>Fr</v>
      </c>
      <c r="R6" s="5" t="str">
        <f>IF(ISNUMBER(R$7),CHOOSE(WEEKDAY(R$7),"So","Mo","Di","Mi","Do","Fr","Sa"),"")</f>
        <v>Sa</v>
      </c>
      <c r="S6" s="5" t="str">
        <f>IF(ISNUMBER(S$7),CHOOSE(WEEKDAY(S$7),"So","Mo","Di","Mi","Do","Fr","Sa"),"")</f>
        <v>So</v>
      </c>
      <c r="T6" s="5" t="str">
        <f>IF(ISNUMBER(T$7),CHOOSE(WEEKDAY(T$7),"So","Mo","Di","Mi","Do","Fr","Sa"),"")</f>
        <v>Mo</v>
      </c>
      <c r="U6" s="5" t="str">
        <f>IF(ISNUMBER(U$7),CHOOSE(WEEKDAY(U$7),"So","Mo","Di","Mi","Do","Fr","Sa"),"")</f>
        <v>Di</v>
      </c>
      <c r="V6" s="5" t="str">
        <f>IF(ISNUMBER(V$7),CHOOSE(WEEKDAY(V$7),"So","Mo","Di","Mi","Do","Fr","Sa"),"")</f>
        <v>Mi</v>
      </c>
      <c r="W6" s="5" t="str">
        <f>IF(ISNUMBER(W$7),CHOOSE(WEEKDAY(W$7),"So","Mo","Di","Mi","Do","Fr","Sa"),"")</f>
        <v>Do</v>
      </c>
      <c r="X6" s="5" t="str">
        <f>IF(ISNUMBER(X$7),CHOOSE(WEEKDAY(X$7),"So","Mo","Di","Mi","Do","Fr","Sa"),"")</f>
        <v>Fr</v>
      </c>
      <c r="Y6" s="5" t="str">
        <f>IF(ISNUMBER(Y$7),CHOOSE(WEEKDAY(Y$7),"So","Mo","Di","Mi","Do","Fr","Sa"),"")</f>
        <v>Sa</v>
      </c>
      <c r="Z6" s="5" t="str">
        <f>IF(ISNUMBER(Z$7),CHOOSE(WEEKDAY(Z$7),"So","Mo","Di","Mi","Do","Fr","Sa"),"")</f>
        <v>So</v>
      </c>
      <c r="AA6" s="5" t="str">
        <f>IF(ISNUMBER(AA$7),CHOOSE(WEEKDAY(AA$7),"So","Mo","Di","Mi","Do","Fr","Sa"),"")</f>
        <v>Mo</v>
      </c>
      <c r="AB6" s="5" t="str">
        <f>IF(ISNUMBER(AB$7),CHOOSE(WEEKDAY(AB$7),"So","Mo","Di","Mi","Do","Fr","Sa"),"")</f>
        <v>Di</v>
      </c>
      <c r="AC6" s="5" t="str">
        <f>IF(ISNUMBER(AC$7),CHOOSE(WEEKDAY(AC$7),"So","Mo","Di","Mi","Do","Fr","Sa"),"")</f>
        <v>Mi</v>
      </c>
      <c r="AD6" s="5" t="str">
        <f>IF(ISNUMBER(AD$7),CHOOSE(WEEKDAY(AD$7),"So","Mo","Di","Mi","Do","Fr","Sa"),"")</f>
        <v>Do</v>
      </c>
      <c r="AE6" s="5" t="str">
        <f>IF(ISNUMBER(AE$7),CHOOSE(WEEKDAY(AE$7),"So","Mo","Di","Mi","Do","Fr","Sa"),"")</f>
        <v>Fr</v>
      </c>
      <c r="AF6" s="5" t="str">
        <f>IF(ISNUMBER(AF$7),CHOOSE(WEEKDAY(AF$7),"So","Mo","Di","Mi","Do","Fr","Sa"),"")</f>
        <v>Sa</v>
      </c>
      <c r="AG6" s="5" t="str">
        <f>IF(ISNUMBER(AG$7),CHOOSE(WEEKDAY(AG$7),"So","Mo","Di","Mi","Do","Fr","Sa"),"")</f>
        <v>So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IF(MONTH(DATE('Übersicht'!$B$3,10,1))=10,DATE('Übersicht'!$B$3,10,1),"")</f>
        <v>46661</v>
      </c>
      <c r="D7" s="13">
        <f>IF(MONTH(DATE('Übersicht'!$B$3,10,2))=10,DATE('Übersicht'!$B$3,10,2),"")</f>
        <v>46662</v>
      </c>
      <c r="E7" s="13">
        <f>IF(MONTH(DATE('Übersicht'!$B$3,10,3))=10,DATE('Übersicht'!$B$3,10,3),"")</f>
        <v>46663</v>
      </c>
      <c r="F7" s="13">
        <f>IF(MONTH(DATE('Übersicht'!$B$3,10,4))=10,DATE('Übersicht'!$B$3,10,4),"")</f>
        <v>46664</v>
      </c>
      <c r="G7" s="13">
        <f>IF(MONTH(DATE('Übersicht'!$B$3,10,5))=10,DATE('Übersicht'!$B$3,10,5),"")</f>
        <v>46665</v>
      </c>
      <c r="H7" s="13">
        <f>IF(MONTH(DATE('Übersicht'!$B$3,10,6))=10,DATE('Übersicht'!$B$3,10,6),"")</f>
        <v>46666</v>
      </c>
      <c r="I7" s="13">
        <f>IF(MONTH(DATE('Übersicht'!$B$3,10,7))=10,DATE('Übersicht'!$B$3,10,7),"")</f>
        <v>46667</v>
      </c>
      <c r="J7" s="13">
        <f>IF(MONTH(DATE('Übersicht'!$B$3,10,8))=10,DATE('Übersicht'!$B$3,10,8),"")</f>
        <v>46668</v>
      </c>
      <c r="K7" s="13">
        <f>IF(MONTH(DATE('Übersicht'!$B$3,10,9))=10,DATE('Übersicht'!$B$3,10,9),"")</f>
        <v>46669</v>
      </c>
      <c r="L7" s="13">
        <f>IF(MONTH(DATE('Übersicht'!$B$3,10,10))=10,DATE('Übersicht'!$B$3,10,10),"")</f>
        <v>46670</v>
      </c>
      <c r="M7" s="13">
        <f>IF(MONTH(DATE('Übersicht'!$B$3,10,11))=10,DATE('Übersicht'!$B$3,10,11),"")</f>
        <v>46671</v>
      </c>
      <c r="N7" s="13">
        <f>IF(MONTH(DATE('Übersicht'!$B$3,10,12))=10,DATE('Übersicht'!$B$3,10,12),"")</f>
        <v>46672</v>
      </c>
      <c r="O7" s="13">
        <f>IF(MONTH(DATE('Übersicht'!$B$3,10,13))=10,DATE('Übersicht'!$B$3,10,13),"")</f>
        <v>46673</v>
      </c>
      <c r="P7" s="13">
        <f>IF(MONTH(DATE('Übersicht'!$B$3,10,14))=10,DATE('Übersicht'!$B$3,10,14),"")</f>
        <v>46674</v>
      </c>
      <c r="Q7" s="13">
        <f>IF(MONTH(DATE('Übersicht'!$B$3,10,15))=10,DATE('Übersicht'!$B$3,10,15),"")</f>
        <v>46675</v>
      </c>
      <c r="R7" s="13">
        <f>IF(MONTH(DATE('Übersicht'!$B$3,10,16))=10,DATE('Übersicht'!$B$3,10,16),"")</f>
        <v>46676</v>
      </c>
      <c r="S7" s="13">
        <f>IF(MONTH(DATE('Übersicht'!$B$3,10,17))=10,DATE('Übersicht'!$B$3,10,17),"")</f>
        <v>46677</v>
      </c>
      <c r="T7" s="13">
        <f>IF(MONTH(DATE('Übersicht'!$B$3,10,18))=10,DATE('Übersicht'!$B$3,10,18),"")</f>
        <v>46678</v>
      </c>
      <c r="U7" s="13">
        <f>IF(MONTH(DATE('Übersicht'!$B$3,10,19))=10,DATE('Übersicht'!$B$3,10,19),"")</f>
        <v>46679</v>
      </c>
      <c r="V7" s="13">
        <f>IF(MONTH(DATE('Übersicht'!$B$3,10,20))=10,DATE('Übersicht'!$B$3,10,20),"")</f>
        <v>46680</v>
      </c>
      <c r="W7" s="13">
        <f>IF(MONTH(DATE('Übersicht'!$B$3,10,21))=10,DATE('Übersicht'!$B$3,10,21),"")</f>
        <v>46681</v>
      </c>
      <c r="X7" s="13">
        <f>IF(MONTH(DATE('Übersicht'!$B$3,10,22))=10,DATE('Übersicht'!$B$3,10,22),"")</f>
        <v>46682</v>
      </c>
      <c r="Y7" s="13">
        <f>IF(MONTH(DATE('Übersicht'!$B$3,10,23))=10,DATE('Übersicht'!$B$3,10,23),"")</f>
        <v>46683</v>
      </c>
      <c r="Z7" s="13">
        <f>IF(MONTH(DATE('Übersicht'!$B$3,10,24))=10,DATE('Übersicht'!$B$3,10,24),"")</f>
        <v>46684</v>
      </c>
      <c r="AA7" s="13">
        <f>IF(MONTH(DATE('Übersicht'!$B$3,10,25))=10,DATE('Übersicht'!$B$3,10,25),"")</f>
        <v>46685</v>
      </c>
      <c r="AB7" s="13">
        <f>IF(MONTH(DATE('Übersicht'!$B$3,10,26))=10,DATE('Übersicht'!$B$3,10,26),"")</f>
        <v>46686</v>
      </c>
      <c r="AC7" s="13">
        <f>IF(MONTH(DATE('Übersicht'!$B$3,10,27))=10,DATE('Übersicht'!$B$3,10,27),"")</f>
        <v>46687</v>
      </c>
      <c r="AD7" s="13">
        <f>IF(MONTH(DATE('Übersicht'!$B$3,10,28))=10,DATE('Übersicht'!$B$3,10,28),"")</f>
        <v>46688</v>
      </c>
      <c r="AE7" s="13">
        <f>IF(MONTH(DATE('Übersicht'!$B$3,10,29))=10,DATE('Übersicht'!$B$3,10,29),"")</f>
        <v>46689</v>
      </c>
      <c r="AF7" s="13">
        <f>IF(MONTH(DATE('Übersicht'!$B$3,10,30))=10,DATE('Übersicht'!$B$3,10,30),"")</f>
        <v>46690</v>
      </c>
      <c r="AG7" s="13">
        <f>IF(MONTH(DATE('Übersicht'!$B$3,10,31))=10,DATE('Übersicht'!$B$3,10,31),"")</f>
        <v>46691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 t="s">
        <v>33</v>
      </c>
      <c r="AC10" s="16" t="s">
        <v>33</v>
      </c>
      <c r="AD10" s="16" t="s">
        <v>33</v>
      </c>
      <c r="AE10" s="16" t="s">
        <v>33</v>
      </c>
      <c r="AF10" s="16"/>
      <c r="AG10" s="16"/>
      <c r="AH10" s="8">
        <f>COUNTIF(C10:AG10,"U")+COUNTIF(C10:AG10,"H")/2</f>
        <v>4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1</v>
      </c>
      <c r="AC20" s="18">
        <f>COUNTIF(AC8:AC19,"U")+COUNTIF(AC8:AC19,"H")+COUNTIF(AC8:AC19,"K")</f>
        <v>1</v>
      </c>
      <c r="AD20" s="18">
        <f>COUNTIF(AD8:AD19,"U")+COUNTIF(AD8:AD19,"H")+COUNTIF(AD8:AD19,"K")</f>
        <v>1</v>
      </c>
      <c r="AE20" s="18">
        <f>COUNTIF(AE8:AE19,"U")+COUNTIF(AE8:AE19,"H")+COUNTIF(AE8:AE19,"K")</f>
        <v>1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64" priority="1">
      <formula>UPPER(C8)="U"</formula>
    </cfRule>
    <cfRule type="expression" dxfId="65" priority="2">
      <formula>UPPER(C8)="H"</formula>
    </cfRule>
    <cfRule type="expression" dxfId="66" priority="3">
      <formula>UPPER(C8)="K"</formula>
    </cfRule>
  </conditionalFormatting>
  <conditionalFormatting sqref="C4:AG4 C8:AG19">
    <cfRule type="expression" dxfId="67" priority="4">
      <formula>NOT(ISNUMBER(C$7))</formula>
    </cfRule>
    <cfRule type="expression" dxfId="68" priority="5">
      <formula>C$4&lt;&gt;""</formula>
    </cfRule>
    <cfRule type="expression" dxfId="69" priority="6">
      <formula>WEEKDAY(C$7,2)&gt;5</formula>
    </cfRule>
  </conditionalFormatting>
  <conditionalFormatting sqref="C20:AG20">
    <cfRule type="expression" dxfId="70" priority="7">
      <formula>C20&gt;$AH$20</formula>
    </cfRule>
  </conditionalFormatting>
  <pageSetup paperSize="9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>Mo</v>
      </c>
      <c r="AF6" s="5" t="str">
        <f>IF(ISNUMBER(AF$7),CHOOSE(WEEKDAY(AF$7),"So","Mo","Di","Mi","Do","Fr","Sa"),"")</f>
        <v>Di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IF(MONTH(DATE('Übersicht'!$B$3,11,1))=11,DATE('Übersicht'!$B$3,11,1),"")</f>
        <v>46692</v>
      </c>
      <c r="D7" s="13">
        <f>IF(MONTH(DATE('Übersicht'!$B$3,11,2))=11,DATE('Übersicht'!$B$3,11,2),"")</f>
        <v>46693</v>
      </c>
      <c r="E7" s="13">
        <f>IF(MONTH(DATE('Übersicht'!$B$3,11,3))=11,DATE('Übersicht'!$B$3,11,3),"")</f>
        <v>46694</v>
      </c>
      <c r="F7" s="13">
        <f>IF(MONTH(DATE('Übersicht'!$B$3,11,4))=11,DATE('Übersicht'!$B$3,11,4),"")</f>
        <v>46695</v>
      </c>
      <c r="G7" s="13">
        <f>IF(MONTH(DATE('Übersicht'!$B$3,11,5))=11,DATE('Übersicht'!$B$3,11,5),"")</f>
        <v>46696</v>
      </c>
      <c r="H7" s="13">
        <f>IF(MONTH(DATE('Übersicht'!$B$3,11,6))=11,DATE('Übersicht'!$B$3,11,6),"")</f>
        <v>46697</v>
      </c>
      <c r="I7" s="13">
        <f>IF(MONTH(DATE('Übersicht'!$B$3,11,7))=11,DATE('Übersicht'!$B$3,11,7),"")</f>
        <v>46698</v>
      </c>
      <c r="J7" s="13">
        <f>IF(MONTH(DATE('Übersicht'!$B$3,11,8))=11,DATE('Übersicht'!$B$3,11,8),"")</f>
        <v>46699</v>
      </c>
      <c r="K7" s="13">
        <f>IF(MONTH(DATE('Übersicht'!$B$3,11,9))=11,DATE('Übersicht'!$B$3,11,9),"")</f>
        <v>46700</v>
      </c>
      <c r="L7" s="13">
        <f>IF(MONTH(DATE('Übersicht'!$B$3,11,10))=11,DATE('Übersicht'!$B$3,11,10),"")</f>
        <v>46701</v>
      </c>
      <c r="M7" s="13">
        <f>IF(MONTH(DATE('Übersicht'!$B$3,11,11))=11,DATE('Übersicht'!$B$3,11,11),"")</f>
        <v>46702</v>
      </c>
      <c r="N7" s="13">
        <f>IF(MONTH(DATE('Übersicht'!$B$3,11,12))=11,DATE('Übersicht'!$B$3,11,12),"")</f>
        <v>46703</v>
      </c>
      <c r="O7" s="13">
        <f>IF(MONTH(DATE('Übersicht'!$B$3,11,13))=11,DATE('Übersicht'!$B$3,11,13),"")</f>
        <v>46704</v>
      </c>
      <c r="P7" s="13">
        <f>IF(MONTH(DATE('Übersicht'!$B$3,11,14))=11,DATE('Übersicht'!$B$3,11,14),"")</f>
        <v>46705</v>
      </c>
      <c r="Q7" s="13">
        <f>IF(MONTH(DATE('Übersicht'!$B$3,11,15))=11,DATE('Übersicht'!$B$3,11,15),"")</f>
        <v>46706</v>
      </c>
      <c r="R7" s="13">
        <f>IF(MONTH(DATE('Übersicht'!$B$3,11,16))=11,DATE('Übersicht'!$B$3,11,16),"")</f>
        <v>46707</v>
      </c>
      <c r="S7" s="13">
        <f>IF(MONTH(DATE('Übersicht'!$B$3,11,17))=11,DATE('Übersicht'!$B$3,11,17),"")</f>
        <v>46708</v>
      </c>
      <c r="T7" s="13">
        <f>IF(MONTH(DATE('Übersicht'!$B$3,11,18))=11,DATE('Übersicht'!$B$3,11,18),"")</f>
        <v>46709</v>
      </c>
      <c r="U7" s="13">
        <f>IF(MONTH(DATE('Übersicht'!$B$3,11,19))=11,DATE('Übersicht'!$B$3,11,19),"")</f>
        <v>46710</v>
      </c>
      <c r="V7" s="13">
        <f>IF(MONTH(DATE('Übersicht'!$B$3,11,20))=11,DATE('Übersicht'!$B$3,11,20),"")</f>
        <v>46711</v>
      </c>
      <c r="W7" s="13">
        <f>IF(MONTH(DATE('Übersicht'!$B$3,11,21))=11,DATE('Übersicht'!$B$3,11,21),"")</f>
        <v>46712</v>
      </c>
      <c r="X7" s="13">
        <f>IF(MONTH(DATE('Übersicht'!$B$3,11,22))=11,DATE('Übersicht'!$B$3,11,22),"")</f>
        <v>46713</v>
      </c>
      <c r="Y7" s="13">
        <f>IF(MONTH(DATE('Übersicht'!$B$3,11,23))=11,DATE('Übersicht'!$B$3,11,23),"")</f>
        <v>46714</v>
      </c>
      <c r="Z7" s="13">
        <f>IF(MONTH(DATE('Übersicht'!$B$3,11,24))=11,DATE('Übersicht'!$B$3,11,24),"")</f>
        <v>46715</v>
      </c>
      <c r="AA7" s="13">
        <f>IF(MONTH(DATE('Übersicht'!$B$3,11,25))=11,DATE('Übersicht'!$B$3,11,25),"")</f>
        <v>46716</v>
      </c>
      <c r="AB7" s="13">
        <f>IF(MONTH(DATE('Übersicht'!$B$3,11,26))=11,DATE('Übersicht'!$B$3,11,26),"")</f>
        <v>46717</v>
      </c>
      <c r="AC7" s="13">
        <f>IF(MONTH(DATE('Übersicht'!$B$3,11,27))=11,DATE('Übersicht'!$B$3,11,27),"")</f>
        <v>46718</v>
      </c>
      <c r="AD7" s="13">
        <f>IF(MONTH(DATE('Übersicht'!$B$3,11,28))=11,DATE('Übersicht'!$B$3,11,28),"")</f>
        <v>46719</v>
      </c>
      <c r="AE7" s="13">
        <f>IF(MONTH(DATE('Übersicht'!$B$3,11,29))=11,DATE('Übersicht'!$B$3,11,29),"")</f>
        <v>46720</v>
      </c>
      <c r="AF7" s="13">
        <f>IF(MONTH(DATE('Übersicht'!$B$3,11,30))=11,DATE('Übersicht'!$B$3,11,30),"")</f>
        <v>46721</v>
      </c>
      <c r="AG7" s="13" t="str">
        <f>IF(MONTH(DATE('Übersicht'!$B$3,11,31))=11,DATE('Übersicht'!$B$3,11,31),"")</f>
        <v/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COUNTIF(C10:AG10,"U")+COUNTIF(C10:AG10,"H")/2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0</v>
      </c>
      <c r="X20" s="18">
        <f>COUNTIF(X8:X19,"U")+COUNTIF(X8:X19,"H")+COUNTIF(X8:X19,"K")</f>
        <v>0</v>
      </c>
      <c r="Y20" s="18">
        <f>COUNTIF(Y8:Y19,"U")+COUNTIF(Y8:Y19,"H")+COUNTIF(Y8:Y19,"K")</f>
        <v>0</v>
      </c>
      <c r="Z20" s="18">
        <f>COUNTIF(Z8:Z19,"U")+COUNTIF(Z8:Z19,"H")+COUNTIF(Z8:Z19,"K")</f>
        <v>0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0</v>
      </c>
      <c r="AE20" s="18">
        <f>COUNTIF(AE8:AE19,"U")+COUNTIF(AE8:AE19,"H")+COUNTIF(AE8:AE19,"K")</f>
        <v>0</v>
      </c>
      <c r="AF20" s="18">
        <f>COUNTIF(AF8:AF19,"U")+COUNTIF(AF8:AF19,"H")+COUNTIF(AF8:AF19,"K")</f>
        <v>0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1" priority="1">
      <formula>UPPER(C8)="U"</formula>
    </cfRule>
    <cfRule type="expression" dxfId="72" priority="2">
      <formula>UPPER(C8)="H"</formula>
    </cfRule>
    <cfRule type="expression" dxfId="73" priority="3">
      <formula>UPPER(C8)="K"</formula>
    </cfRule>
  </conditionalFormatting>
  <conditionalFormatting sqref="C4:AG4 C8:AG19">
    <cfRule type="expression" dxfId="74" priority="4">
      <formula>NOT(ISNUMBER(C$7))</formula>
    </cfRule>
    <cfRule type="expression" dxfId="75" priority="5">
      <formula>C$4&lt;&gt;""</formula>
    </cfRule>
    <cfRule type="expression" dxfId="76" priority="6">
      <formula>WEEKDAY(C$7,2)&gt;5</formula>
    </cfRule>
  </conditionalFormatting>
  <conditionalFormatting sqref="C20:AG20">
    <cfRule type="expression" dxfId="77" priority="7">
      <formula>C20&gt;$AH$20</formula>
    </cfRule>
  </conditionalFormatting>
  <pageSetup paperSize="9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>Fr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IF(MONTH(DATE('Übersicht'!$B$3,12,1))=12,DATE('Übersicht'!$B$3,12,1),"")</f>
        <v>46722</v>
      </c>
      <c r="D7" s="13">
        <f>IF(MONTH(DATE('Übersicht'!$B$3,12,2))=12,DATE('Übersicht'!$B$3,12,2),"")</f>
        <v>46723</v>
      </c>
      <c r="E7" s="13">
        <f>IF(MONTH(DATE('Übersicht'!$B$3,12,3))=12,DATE('Übersicht'!$B$3,12,3),"")</f>
        <v>46724</v>
      </c>
      <c r="F7" s="13">
        <f>IF(MONTH(DATE('Übersicht'!$B$3,12,4))=12,DATE('Übersicht'!$B$3,12,4),"")</f>
        <v>46725</v>
      </c>
      <c r="G7" s="13">
        <f>IF(MONTH(DATE('Übersicht'!$B$3,12,5))=12,DATE('Übersicht'!$B$3,12,5),"")</f>
        <v>46726</v>
      </c>
      <c r="H7" s="13">
        <f>IF(MONTH(DATE('Übersicht'!$B$3,12,6))=12,DATE('Übersicht'!$B$3,12,6),"")</f>
        <v>46727</v>
      </c>
      <c r="I7" s="13">
        <f>IF(MONTH(DATE('Übersicht'!$B$3,12,7))=12,DATE('Übersicht'!$B$3,12,7),"")</f>
        <v>46728</v>
      </c>
      <c r="J7" s="13">
        <f>IF(MONTH(DATE('Übersicht'!$B$3,12,8))=12,DATE('Übersicht'!$B$3,12,8),"")</f>
        <v>46729</v>
      </c>
      <c r="K7" s="13">
        <f>IF(MONTH(DATE('Übersicht'!$B$3,12,9))=12,DATE('Übersicht'!$B$3,12,9),"")</f>
        <v>46730</v>
      </c>
      <c r="L7" s="13">
        <f>IF(MONTH(DATE('Übersicht'!$B$3,12,10))=12,DATE('Übersicht'!$B$3,12,10),"")</f>
        <v>46731</v>
      </c>
      <c r="M7" s="13">
        <f>IF(MONTH(DATE('Übersicht'!$B$3,12,11))=12,DATE('Übersicht'!$B$3,12,11),"")</f>
        <v>46732</v>
      </c>
      <c r="N7" s="13">
        <f>IF(MONTH(DATE('Übersicht'!$B$3,12,12))=12,DATE('Übersicht'!$B$3,12,12),"")</f>
        <v>46733</v>
      </c>
      <c r="O7" s="13">
        <f>IF(MONTH(DATE('Übersicht'!$B$3,12,13))=12,DATE('Übersicht'!$B$3,12,13),"")</f>
        <v>46734</v>
      </c>
      <c r="P7" s="13">
        <f>IF(MONTH(DATE('Übersicht'!$B$3,12,14))=12,DATE('Übersicht'!$B$3,12,14),"")</f>
        <v>46735</v>
      </c>
      <c r="Q7" s="13">
        <f>IF(MONTH(DATE('Übersicht'!$B$3,12,15))=12,DATE('Übersicht'!$B$3,12,15),"")</f>
        <v>46736</v>
      </c>
      <c r="R7" s="13">
        <f>IF(MONTH(DATE('Übersicht'!$B$3,12,16))=12,DATE('Übersicht'!$B$3,12,16),"")</f>
        <v>46737</v>
      </c>
      <c r="S7" s="13">
        <f>IF(MONTH(DATE('Übersicht'!$B$3,12,17))=12,DATE('Übersicht'!$B$3,12,17),"")</f>
        <v>46738</v>
      </c>
      <c r="T7" s="13">
        <f>IF(MONTH(DATE('Übersicht'!$B$3,12,18))=12,DATE('Übersicht'!$B$3,12,18),"")</f>
        <v>46739</v>
      </c>
      <c r="U7" s="13">
        <f>IF(MONTH(DATE('Übersicht'!$B$3,12,19))=12,DATE('Übersicht'!$B$3,12,19),"")</f>
        <v>46740</v>
      </c>
      <c r="V7" s="13">
        <f>IF(MONTH(DATE('Übersicht'!$B$3,12,20))=12,DATE('Übersicht'!$B$3,12,20),"")</f>
        <v>46741</v>
      </c>
      <c r="W7" s="13">
        <f>IF(MONTH(DATE('Übersicht'!$B$3,12,21))=12,DATE('Übersicht'!$B$3,12,21),"")</f>
        <v>46742</v>
      </c>
      <c r="X7" s="13">
        <f>IF(MONTH(DATE('Übersicht'!$B$3,12,22))=12,DATE('Übersicht'!$B$3,12,22),"")</f>
        <v>46743</v>
      </c>
      <c r="Y7" s="13">
        <f>IF(MONTH(DATE('Übersicht'!$B$3,12,23))=12,DATE('Übersicht'!$B$3,12,23),"")</f>
        <v>46744</v>
      </c>
      <c r="Z7" s="13">
        <f>IF(MONTH(DATE('Übersicht'!$B$3,12,24))=12,DATE('Übersicht'!$B$3,12,24),"")</f>
        <v>46745</v>
      </c>
      <c r="AA7" s="13">
        <f>IF(MONTH(DATE('Übersicht'!$B$3,12,25))=12,DATE('Übersicht'!$B$3,12,25),"")</f>
        <v>46746</v>
      </c>
      <c r="AB7" s="13">
        <f>IF(MONTH(DATE('Übersicht'!$B$3,12,26))=12,DATE('Übersicht'!$B$3,12,26),"")</f>
        <v>46747</v>
      </c>
      <c r="AC7" s="13">
        <f>IF(MONTH(DATE('Übersicht'!$B$3,12,27))=12,DATE('Übersicht'!$B$3,12,27),"")</f>
        <v>46748</v>
      </c>
      <c r="AD7" s="13">
        <f>IF(MONTH(DATE('Übersicht'!$B$3,12,28))=12,DATE('Übersicht'!$B$3,12,28),"")</f>
        <v>46749</v>
      </c>
      <c r="AE7" s="13">
        <f>IF(MONTH(DATE('Übersicht'!$B$3,12,29))=12,DATE('Übersicht'!$B$3,12,29),"")</f>
        <v>46750</v>
      </c>
      <c r="AF7" s="13">
        <f>IF(MONTH(DATE('Übersicht'!$B$3,12,30))=12,DATE('Übersicht'!$B$3,12,30),"")</f>
        <v>46751</v>
      </c>
      <c r="AG7" s="13">
        <f>IF(MONTH(DATE('Übersicht'!$B$3,12,31))=12,DATE('Übersicht'!$B$3,12,31),"")</f>
        <v>46752</v>
      </c>
      <c r="AH7" s="5"/>
      <c r="AI7" s="5"/>
    </row>
    <row r="8" spans="1:35" x14ac:dyDescent="0.25">
      <c r="A8" s="14" t="str">
        <f>IF('Übersicht'!$A$8="","",'Übersicht'!$A$8)</f>
        <v>Anna Becker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 t="s">
        <v>33</v>
      </c>
      <c r="X8" s="16" t="s">
        <v>33</v>
      </c>
      <c r="Y8" s="16" t="s">
        <v>33</v>
      </c>
      <c r="Z8" s="16"/>
      <c r="AA8" s="16"/>
      <c r="AB8" s="16"/>
      <c r="AC8" s="16"/>
      <c r="AD8" s="16"/>
      <c r="AE8" s="16"/>
      <c r="AF8" s="16"/>
      <c r="AG8" s="16"/>
      <c r="AH8" s="8">
        <f>COUNTIF(C8:AG8,"U")+COUNTIF(C8:AG8,"H")/2</f>
        <v>3</v>
      </c>
      <c r="AI8" s="9">
        <f>COUNTIF(C8:AG8,"K")</f>
        <v>0</v>
      </c>
    </row>
    <row r="9" spans="1:35" x14ac:dyDescent="0.25">
      <c r="A9" s="14" t="str">
        <f>IF('Übersicht'!$A$9="","",'Übersicht'!$A$9)</f>
        <v>Jonas Klein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COUNTIF(C9:AG9,"U")+COUNTIF(C9:AG9,"H")/2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Lea Schmidt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 t="s">
        <v>33</v>
      </c>
      <c r="AE10" s="16" t="s">
        <v>33</v>
      </c>
      <c r="AF10" s="16" t="s">
        <v>33</v>
      </c>
      <c r="AG10" s="16"/>
      <c r="AH10" s="8">
        <f>COUNTIF(C10:AG10,"U")+COUNTIF(C10:AG10,"H")/2</f>
        <v>3</v>
      </c>
      <c r="AI10" s="9">
        <f>COUNTIF(C10:AG10,"K")</f>
        <v>0</v>
      </c>
    </row>
    <row r="11" spans="1:35" x14ac:dyDescent="0.25">
      <c r="A11" s="14" t="str">
        <f>IF('Übersicht'!$A$11="","",'Übersicht'!$A$11)</f>
        <v>David Meyer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COUNTIF(C11:AG11,"U")+COUNTIF(C11:AG11,"H")/2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Sophie Wagner</v>
      </c>
      <c r="B12" s="15" t="str">
        <f>IF('Übersicht'!$B$12="","",'Übersicht'!$B$12)</f>
        <v>Theke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 t="s">
        <v>42</v>
      </c>
      <c r="AA12" s="16"/>
      <c r="AB12" s="16"/>
      <c r="AC12" s="16"/>
      <c r="AD12" s="16"/>
      <c r="AE12" s="16"/>
      <c r="AF12" s="16"/>
      <c r="AG12" s="16"/>
      <c r="AH12" s="8">
        <f>COUNTIF(C12:AG12,"U")+COUNTIF(C12:AG12,"H")/2</f>
        <v>0.5</v>
      </c>
      <c r="AI12" s="9">
        <f>COUNTIF(C12:AG12,"K")</f>
        <v>0</v>
      </c>
    </row>
    <row r="13" spans="1:35" x14ac:dyDescent="0.25">
      <c r="A13" s="14" t="str">
        <f>IF('Übersicht'!$A$13="","",'Übersicht'!$A$13)</f>
        <v>Ben Fischer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COUNTIF(C13:AG13,"U")+COUNTIF(C13:AG13,"H")/2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COUNTIF(C14:AG14,"U")+COUNTIF(C14:AG14,"H")/2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COUNTIF(C15:AG15,"U")+COUNTIF(C15:AG15,"H")/2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COUNTIF(C16:AG16,"U")+COUNTIF(C16:AG16,"H")/2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COUNTIF(C17:AG17,"U")+COUNTIF(C17:AG17,"H")/2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COUNTIF(C18:AG18,"U")+COUNTIF(C18:AG18,"H")/2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COUNTIF(C19:AG19,"U")+COUNTIF(C19:AG19,"H")/2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COUNTIF(C8:C19,"U")+COUNTIF(C8:C19,"H")+COUNTIF(C8:C19,"K")</f>
        <v>0</v>
      </c>
      <c r="D20" s="18">
        <f>COUNTIF(D8:D19,"U")+COUNTIF(D8:D19,"H")+COUNTIF(D8:D19,"K")</f>
        <v>0</v>
      </c>
      <c r="E20" s="18">
        <f>COUNTIF(E8:E19,"U")+COUNTIF(E8:E19,"H")+COUNTIF(E8:E19,"K")</f>
        <v>0</v>
      </c>
      <c r="F20" s="18">
        <f>COUNTIF(F8:F19,"U")+COUNTIF(F8:F19,"H")+COUNTIF(F8:F19,"K")</f>
        <v>0</v>
      </c>
      <c r="G20" s="18">
        <f>COUNTIF(G8:G19,"U")+COUNTIF(G8:G19,"H")+COUNTIF(G8:G19,"K")</f>
        <v>0</v>
      </c>
      <c r="H20" s="18">
        <f>COUNTIF(H8:H19,"U")+COUNTIF(H8:H19,"H")+COUNTIF(H8:H19,"K")</f>
        <v>0</v>
      </c>
      <c r="I20" s="18">
        <f>COUNTIF(I8:I19,"U")+COUNTIF(I8:I19,"H")+COUNTIF(I8:I19,"K")</f>
        <v>0</v>
      </c>
      <c r="J20" s="18">
        <f>COUNTIF(J8:J19,"U")+COUNTIF(J8:J19,"H")+COUNTIF(J8:J19,"K")</f>
        <v>0</v>
      </c>
      <c r="K20" s="18">
        <f>COUNTIF(K8:K19,"U")+COUNTIF(K8:K19,"H")+COUNTIF(K8:K19,"K")</f>
        <v>0</v>
      </c>
      <c r="L20" s="18">
        <f>COUNTIF(L8:L19,"U")+COUNTIF(L8:L19,"H")+COUNTIF(L8:L19,"K")</f>
        <v>0</v>
      </c>
      <c r="M20" s="18">
        <f>COUNTIF(M8:M19,"U")+COUNTIF(M8:M19,"H")+COUNTIF(M8:M19,"K")</f>
        <v>0</v>
      </c>
      <c r="N20" s="18">
        <f>COUNTIF(N8:N19,"U")+COUNTIF(N8:N19,"H")+COUNTIF(N8:N19,"K")</f>
        <v>0</v>
      </c>
      <c r="O20" s="18">
        <f>COUNTIF(O8:O19,"U")+COUNTIF(O8:O19,"H")+COUNTIF(O8:O19,"K")</f>
        <v>0</v>
      </c>
      <c r="P20" s="18">
        <f>COUNTIF(P8:P19,"U")+COUNTIF(P8:P19,"H")+COUNTIF(P8:P19,"K")</f>
        <v>0</v>
      </c>
      <c r="Q20" s="18">
        <f>COUNTIF(Q8:Q19,"U")+COUNTIF(Q8:Q19,"H")+COUNTIF(Q8:Q19,"K")</f>
        <v>0</v>
      </c>
      <c r="R20" s="18">
        <f>COUNTIF(R8:R19,"U")+COUNTIF(R8:R19,"H")+COUNTIF(R8:R19,"K")</f>
        <v>0</v>
      </c>
      <c r="S20" s="18">
        <f>COUNTIF(S8:S19,"U")+COUNTIF(S8:S19,"H")+COUNTIF(S8:S19,"K")</f>
        <v>0</v>
      </c>
      <c r="T20" s="18">
        <f>COUNTIF(T8:T19,"U")+COUNTIF(T8:T19,"H")+COUNTIF(T8:T19,"K")</f>
        <v>0</v>
      </c>
      <c r="U20" s="18">
        <f>COUNTIF(U8:U19,"U")+COUNTIF(U8:U19,"H")+COUNTIF(U8:U19,"K")</f>
        <v>0</v>
      </c>
      <c r="V20" s="18">
        <f>COUNTIF(V8:V19,"U")+COUNTIF(V8:V19,"H")+COUNTIF(V8:V19,"K")</f>
        <v>0</v>
      </c>
      <c r="W20" s="18">
        <f>COUNTIF(W8:W19,"U")+COUNTIF(W8:W19,"H")+COUNTIF(W8:W19,"K")</f>
        <v>1</v>
      </c>
      <c r="X20" s="18">
        <f>COUNTIF(X8:X19,"U")+COUNTIF(X8:X19,"H")+COUNTIF(X8:X19,"K")</f>
        <v>1</v>
      </c>
      <c r="Y20" s="18">
        <f>COUNTIF(Y8:Y19,"U")+COUNTIF(Y8:Y19,"H")+COUNTIF(Y8:Y19,"K")</f>
        <v>1</v>
      </c>
      <c r="Z20" s="18">
        <f>COUNTIF(Z8:Z19,"U")+COUNTIF(Z8:Z19,"H")+COUNTIF(Z8:Z19,"K")</f>
        <v>1</v>
      </c>
      <c r="AA20" s="18">
        <f>COUNTIF(AA8:AA19,"U")+COUNTIF(AA8:AA19,"H")+COUNTIF(AA8:AA19,"K")</f>
        <v>0</v>
      </c>
      <c r="AB20" s="18">
        <f>COUNTIF(AB8:AB19,"U")+COUNTIF(AB8:AB19,"H")+COUNTIF(AB8:AB19,"K")</f>
        <v>0</v>
      </c>
      <c r="AC20" s="18">
        <f>COUNTIF(AC8:AC19,"U")+COUNTIF(AC8:AC19,"H")+COUNTIF(AC8:AC19,"K")</f>
        <v>0</v>
      </c>
      <c r="AD20" s="18">
        <f>COUNTIF(AD8:AD19,"U")+COUNTIF(AD8:AD19,"H")+COUNTIF(AD8:AD19,"K")</f>
        <v>1</v>
      </c>
      <c r="AE20" s="18">
        <f>COUNTIF(AE8:AE19,"U")+COUNTIF(AE8:AE19,"H")+COUNTIF(AE8:AE19,"K")</f>
        <v>1</v>
      </c>
      <c r="AF20" s="18">
        <f>COUNTIF(AF8:AF19,"U")+COUNTIF(AF8:AF19,"H")+COUNTIF(AF8:AF19,"K")</f>
        <v>1</v>
      </c>
      <c r="AG20" s="18">
        <f>COUNTIF(AG8:AG19,"U")+COUNTIF(AG8:AG19,"H")+COUNTIF(AG8:AG19,"K")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8" priority="1">
      <formula>UPPER(C8)="U"</formula>
    </cfRule>
    <cfRule type="expression" dxfId="79" priority="2">
      <formula>UPPER(C8)="H"</formula>
    </cfRule>
    <cfRule type="expression" dxfId="80" priority="3">
      <formula>UPPER(C8)="K"</formula>
    </cfRule>
  </conditionalFormatting>
  <conditionalFormatting sqref="C4:AG4 C8:AG19">
    <cfRule type="expression" dxfId="81" priority="4">
      <formula>NOT(ISNUMBER(C$7))</formula>
    </cfRule>
    <cfRule type="expression" dxfId="82" priority="5">
      <formula>C$4&lt;&gt;""</formula>
    </cfRule>
    <cfRule type="expression" dxfId="83" priority="6">
      <formula>WEEKDAY(C$7,2)&gt;5</formula>
    </cfRule>
  </conditionalFormatting>
  <conditionalFormatting sqref="C20:AG20">
    <cfRule type="expression" dxfId="84" priority="7">
      <formula>C20&gt;$AH$20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